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<sst xmlns="http://schemas.openxmlformats.org/spreadsheetml/2006/main" count="528" uniqueCount="357">
  <si>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</si>
  <si>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</si>
  <si>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</si>
  <si>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</si>
  <si>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</si>
  <si>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</si>
  <si>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</si>
  <si>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</si>
  <si>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</si>
  <si>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</si>
  <si>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</si>
  <si>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</si>
  <si>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</si>
  <si>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</si>
  <si>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</si>
  <si>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</si>
  <si>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</si>
  <si>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</si>
  <si>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</si>
  <si>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</si>
  <si>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</si>
  <si>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</si>
  <si>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</si>
  <si>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</si>
  <si>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</si>
  <si>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</si>
  <si>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</si>
  <si>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</si>
  <si>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</si>
  <si>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</si>
  <si>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</si>
  <si>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</si>
  <si>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</si>
  <si>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</si>
  <si>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</si>
  <si>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</si>
  <si>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</si>
  <si>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</si>
  <si>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</si>
  <si>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</si>
  <si>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</si>
  <si>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</si>
  <si>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</si>
  <si>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</si>
  <si>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</si>
  <si>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</si>
  <si>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</si>
  <si>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</si>
  <si>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</si>
  <si>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</si>
  <si>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</si>
  <si>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</si>
  <si>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</si>
  <si>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</si>
  <si>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</si>
  <si>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</si>
  <si>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</si>
  <si>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</si>
  <si>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</si>
  <si>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</si>
  <si>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</si>
  <si>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</si>
  <si>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</si>
  <si>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</si>
  <si>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</si>
  <si>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</si>
  <si>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</si>
  <si>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</si>
  <si>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</si>
  <si>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</si>
  <si>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</si>
  <si>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</si>
  <si>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</si>
  <si>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</si>
  <si>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</si>
  <si>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</si>
  <si>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</si>
  <si>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</si>
  <si>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</si>
  <si>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</si>
  <si>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</si>
  <si>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</si>
  <si>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</si>
  <si>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</si>
  <si>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</si>
  <si>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</si>
  <si>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</si>
  <si>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</si>
  <si>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</si>
  <si>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</si>
  <si>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</si>
  <si>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</si>
  <si>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</si>
  <si>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</si>
  <si>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</si>
  <si>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</si>
  <si>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</si>
  <si>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</si>
  <si>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</si>
  <si>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</si>
  <si>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</si>
  <si>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</si>
  <si>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</si>
  <si>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</si>
  <si>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</si>
  <si>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</si>
  <si>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</si>
  <si>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</si>
  <si>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</si>
  <si>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</si>
  <si>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</si>
  <si>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</si>
  <si>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</si>
  <si>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</si>
  <si>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</si>
  <si>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</si>
  <si>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</si>
  <si>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</si>
  <si>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</si>
  <si>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</si>
  <si>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</si>
  <si>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</si>
  <si>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</si>
  <si>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</si>
  <si>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</si>
  <si>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</si>
  <si>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</si>
  <si>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</si>
  <si>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</si>
  <si>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</si>
  <si>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</si>
  <si>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</si>
  <si>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</si>
  <si>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</si>
  <si>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</si>
  <si>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</si>
  <si>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</si>
  <si>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</si>
  <si>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</si>
  <si>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</si>
  <si>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</si>
  <si>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</si>
  <si>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</si>
  <si>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</si>
  <si>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</si>
  <si>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</si>
  <si>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</si>
  <si>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</si>
  <si>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</si>
  <si>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</si>
  <si>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</si>
  <si>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</si>
  <si>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</si>
  <si>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</si>
  <si>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</si>
  <si>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</si>
  <si>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</si>
  <si>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</si>
  <si>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</si>
  <si>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</si>
  <si>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</si>
  <si>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</si>
  <si>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</si>
  <si>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</si>
  <si>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</si>
  <si>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</si>
  <si>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</si>
  <si>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</si>
  <si>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</si>
  <si>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</si>
  <si>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</si>
  <si>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</si>
  <si>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</si>
  <si>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</si>
  <si>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</si>
  <si>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</si>
  <si>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</si>
  <si>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</si>
  <si>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</si>
  <si>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</si>
  <si>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</si>
  <si>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</si>
  <si>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</si>
  <si>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</si>
  <si>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</si>
  <si>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</si>
  <si>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</si>
  <si>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</si>
  <si>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</si>
  <si>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</si>
  <si>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</si>
  <si>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</si>
  <si>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</si>
  <si>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</si>
  <si>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</si>
  <si>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</si>
  <si>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</si>
  <si>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</si>
  <si>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</si>
  <si>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</si>
  <si>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</si>
  <si>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</si>
  <si>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</si>
  <si>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</si>
  <si>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</si>
  <si>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</si>
  <si>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</si>
  <si>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</si>
  <si>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</si>
  <si>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</si>
  <si>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</si>
  <si>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</si>
  <si>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</si>
  <si>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</si>
  <si>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</si>
  <si>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</si>
  <si>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</si>
  <si>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</si>
  <si>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</si>
  <si>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</si>
  <si>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</si>
  <si>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</si>
  <si>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</si>
  <si>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</si>
  <si>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</si>
  <si>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</si>
  <si>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</si>
  <si>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</si>
  <si>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</si>
  <si>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</si>
  <si>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</si>
  <si>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</si>
  <si>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</si>
  <si>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</si>
  <si>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</si>
  <si>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</si>
  <si>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</si>
  <si>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</si>
  <si>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</si>
  <si>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</si>
  <si>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</si>
  <si>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</si>
  <si>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</si>
  <si>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</si>
  <si>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</si>
  <si>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</si>
  <si>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</si>
  <si>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</si>
  <si>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</si>
  <si>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</si>
  <si>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</si>
  <si>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</si>
  <si>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</si>
  <si>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</si>
  <si>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</si>
  <si>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</si>
  <si>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</si>
  <si>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</si>
  <si>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</si>
  <si>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</si>
  <si>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</si>
  <si>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</si>
  <si>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</si>
  <si>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</si>
  <si>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</si>
  <si>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</si>
  <si>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</si>
  <si>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</si>
  <si>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</si>
  <si>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</si>
  <si>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</si>
  <si>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</si>
  <si>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</si>
  <si>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</si>
  <si>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</si>
  <si>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</si>
  <si>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</si>
  <si>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</si>
  <si>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</si>
  <si>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</si>
  <si>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</si>
  <si>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</si>
  <si>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</si>
  <si>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</si>
  <si>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</si>
  <si>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</si>
  <si>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</si>
  <si>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</si>
  <si>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</si>
  <si>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</si>
  <si>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</si>
  <si>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</si>
  <si>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</si>
  <si>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</si>
  <si>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</si>
  <si>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</si>
  <si>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</si>
  <si>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</si>
  <si>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</si>
  <si>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</si>
  <si>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</si>
  <si>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</si>
  <si>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</si>
  <si>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</si>
  <si>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</si>
  <si>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</si>
  <si>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</si>
  <si>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</si>
  <si>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</si>
  <si>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</si>
  <si>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</si>
  <si>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</si>
  <si>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</si>
  <si>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</si>
  <si>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</si>
  <si>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</si>
  <si>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</si>
  <si>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</si>
  <si>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</si>
  <si>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</si>
  <si>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</si>
  <si>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</si>
  <si>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</si>
  <si>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</si>
  <si>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</si>
  <si>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</si>
  <si>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</si>
  <si>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</si>
  <si>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</si>
  <si>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</si>
  <si>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</si>
  <si>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</si>
  <si>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</si>
  <si>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</si>
  <si>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</si>
  <si>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</si>
  <si>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</si>
  <si>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</si>
  <si>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</si>
  <si>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</si>
  <si>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</si>
  <si>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</si>
  <si>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</si>
  <si>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</si>
  <si>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</si>
  <si>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</si>
  <si>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</si>
  <si>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</si>
  <si>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</si>
  <si>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</si>
  <si>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</si>
  <si>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</si>
  <si>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</si>
  <si>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</si>
  <si>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31.12.2018 г.</t>
  </si>
  <si>
    <t>k.evtimova@ombudsman.bg</t>
  </si>
  <si>
    <t>ОМБУДСМАН НА РЕПУБЛИКА БЪЛГАРИЯ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</si>
</sst>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[$-409]dddd\,\ mmmm\ d\,\ yyyy"/>
    <numFmt numFmtId="195" formatCode="dd\.m\.yyyy\ &quot;г.&quot;;@"/>
  </numFmts>
  <fonts count="1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i/>
      <sz val="14"/>
      <color indexed="20"/>
      <name val="Times New Roman Bold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i/>
      <sz val="14"/>
      <color rgb="FFA50021"/>
      <name val="Times New Roman Bold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69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2" fillId="26" borderId="0" xfId="38" applyFont="1" applyFill="1" applyAlignment="1" applyProtection="1">
      <alignment horizontal="right"/>
      <protection/>
    </xf>
    <xf numFmtId="0" fontId="143" fillId="26" borderId="0" xfId="38" applyFont="1" applyFill="1" applyBorder="1" applyAlignment="1" applyProtection="1">
      <alignment horizontal="center"/>
      <protection/>
    </xf>
    <xf numFmtId="174" fontId="144" fillId="26" borderId="0" xfId="40" applyNumberFormat="1" applyFont="1" applyFill="1" applyAlignment="1" applyProtection="1">
      <alignment/>
      <protection/>
    </xf>
    <xf numFmtId="0" fontId="142" fillId="26" borderId="0" xfId="33" applyFont="1" applyFill="1" applyAlignment="1" applyProtection="1" quotePrefix="1">
      <alignment/>
      <protection/>
    </xf>
    <xf numFmtId="0" fontId="144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144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5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4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1" fontId="146" fillId="39" borderId="22" xfId="0" applyNumberFormat="1" applyFont="1" applyFill="1" applyBorder="1" applyAlignment="1" applyProtection="1" quotePrefix="1">
      <alignment horizontal="center"/>
      <protection/>
    </xf>
    <xf numFmtId="180" fontId="147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48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2" fillId="40" borderId="26" xfId="33" applyFont="1" applyFill="1" applyBorder="1">
      <alignment/>
      <protection/>
    </xf>
    <xf numFmtId="0" fontId="144" fillId="40" borderId="27" xfId="33" applyFont="1" applyFill="1" applyBorder="1">
      <alignment/>
      <protection/>
    </xf>
    <xf numFmtId="0" fontId="144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49" fillId="39" borderId="23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0" fillId="41" borderId="22" xfId="0" applyNumberFormat="1" applyFont="1" applyFill="1" applyBorder="1" applyAlignment="1" applyProtection="1" quotePrefix="1">
      <alignment horizontal="center"/>
      <protection/>
    </xf>
    <xf numFmtId="180" fontId="151" fillId="42" borderId="23" xfId="0" applyNumberFormat="1" applyFont="1" applyFill="1" applyBorder="1" applyAlignment="1" applyProtection="1" quotePrefix="1">
      <alignment horizontal="center" vertical="center" wrapText="1"/>
      <protection/>
    </xf>
    <xf numFmtId="179" fontId="151" fillId="42" borderId="22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48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30" xfId="0" applyNumberFormat="1" applyFont="1" applyFill="1" applyBorder="1" applyAlignment="1" applyProtection="1">
      <alignment horizontal="center"/>
      <protection/>
    </xf>
    <xf numFmtId="174" fontId="12" fillId="26" borderId="30" xfId="0" applyNumberFormat="1" applyFont="1" applyFill="1" applyBorder="1" applyAlignment="1" applyProtection="1">
      <alignment horizontal="center"/>
      <protection/>
    </xf>
    <xf numFmtId="174" fontId="34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80" fontId="152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4" xfId="0" applyNumberFormat="1" applyFont="1" applyFill="1" applyBorder="1" applyAlignment="1" applyProtection="1" quotePrefix="1">
      <alignment horizontal="center"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74" fontId="5" fillId="39" borderId="41" xfId="0" applyNumberFormat="1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40" applyNumberFormat="1" applyFont="1" applyFill="1" applyBorder="1" applyAlignment="1" applyProtection="1">
      <alignment/>
      <protection/>
    </xf>
    <xf numFmtId="38" fontId="24" fillId="44" borderId="57" xfId="40" applyNumberFormat="1" applyFont="1" applyFill="1" applyBorder="1" applyAlignment="1" applyProtection="1">
      <alignment/>
      <protection/>
    </xf>
    <xf numFmtId="38" fontId="24" fillId="44" borderId="50" xfId="40" applyNumberFormat="1" applyFont="1" applyFill="1" applyBorder="1" applyAlignment="1" applyProtection="1">
      <alignment/>
      <protection/>
    </xf>
    <xf numFmtId="38" fontId="24" fillId="44" borderId="51" xfId="40" applyNumberFormat="1" applyFont="1" applyFill="1" applyBorder="1" applyAlignment="1" applyProtection="1">
      <alignment/>
      <protection/>
    </xf>
    <xf numFmtId="38" fontId="24" fillId="44" borderId="52" xfId="40" applyNumberFormat="1" applyFont="1" applyFill="1" applyBorder="1" applyAlignment="1" applyProtection="1">
      <alignment/>
      <protection/>
    </xf>
    <xf numFmtId="38" fontId="24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4" fillId="44" borderId="46" xfId="40" applyNumberFormat="1" applyFont="1" applyFill="1" applyBorder="1" applyAlignment="1" applyProtection="1">
      <alignment/>
      <protection/>
    </xf>
    <xf numFmtId="38" fontId="24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83" fontId="153" fillId="33" borderId="30" xfId="0" applyNumberFormat="1" applyFont="1" applyFill="1" applyBorder="1" applyAlignment="1" applyProtection="1">
      <alignment horizontal="center"/>
      <protection locked="0"/>
    </xf>
    <xf numFmtId="183" fontId="153" fillId="33" borderId="48" xfId="0" applyNumberFormat="1" applyFont="1" applyFill="1" applyBorder="1" applyAlignment="1" applyProtection="1">
      <alignment horizontal="center"/>
      <protection/>
    </xf>
    <xf numFmtId="0" fontId="144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4" fillId="44" borderId="54" xfId="40" applyNumberFormat="1" applyFont="1" applyFill="1" applyBorder="1" applyAlignment="1" applyProtection="1">
      <alignment/>
      <protection/>
    </xf>
    <xf numFmtId="38" fontId="24" fillId="44" borderId="62" xfId="40" applyNumberFormat="1" applyFont="1" applyFill="1" applyBorder="1" applyAlignment="1" applyProtection="1">
      <alignment/>
      <protection/>
    </xf>
    <xf numFmtId="38" fontId="24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4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74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4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4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4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4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4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4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55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4" fillId="44" borderId="45" xfId="40" applyNumberFormat="1" applyFont="1" applyFill="1" applyBorder="1" applyAlignment="1" applyProtection="1">
      <alignment horizontal="center"/>
      <protection/>
    </xf>
    <xf numFmtId="38" fontId="24" fillId="44" borderId="46" xfId="40" applyNumberFormat="1" applyFont="1" applyFill="1" applyBorder="1" applyAlignment="1" applyProtection="1">
      <alignment horizontal="center"/>
      <protection/>
    </xf>
    <xf numFmtId="38" fontId="24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74" fontId="5" fillId="39" borderId="69" xfId="36" applyNumberFormat="1" applyFont="1" applyFill="1" applyBorder="1" applyAlignment="1" applyProtection="1">
      <alignment horizontal="left"/>
      <protection/>
    </xf>
    <xf numFmtId="174" fontId="5" fillId="39" borderId="41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6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57" fillId="41" borderId="23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49" fillId="39" borderId="22" xfId="0" applyNumberFormat="1" applyFont="1" applyFill="1" applyBorder="1" applyAlignment="1" applyProtection="1" quotePrefix="1">
      <alignment horizontal="center"/>
      <protection/>
    </xf>
    <xf numFmtId="191" fontId="156" fillId="42" borderId="22" xfId="0" applyNumberFormat="1" applyFont="1" applyFill="1" applyBorder="1" applyAlignment="1" applyProtection="1" quotePrefix="1">
      <alignment horizontal="center"/>
      <protection/>
    </xf>
    <xf numFmtId="191" fontId="157" fillId="41" borderId="22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58" fillId="38" borderId="107" xfId="0" applyNumberFormat="1" applyFont="1" applyFill="1" applyBorder="1" applyAlignment="1" applyProtection="1">
      <alignment horizontal="center"/>
      <protection/>
    </xf>
    <xf numFmtId="182" fontId="158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74" fontId="159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4" fillId="44" borderId="111" xfId="0" applyNumberFormat="1" applyFont="1" applyFill="1" applyBorder="1" applyAlignment="1" applyProtection="1">
      <alignment/>
      <protection/>
    </xf>
    <xf numFmtId="184" fontId="34" fillId="44" borderId="96" xfId="0" applyNumberFormat="1" applyFont="1" applyFill="1" applyBorder="1" applyAlignment="1" applyProtection="1">
      <alignment/>
      <protection/>
    </xf>
    <xf numFmtId="184" fontId="34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4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0" fillId="49" borderId="0" xfId="37" applyFont="1" applyFill="1" applyBorder="1" applyAlignment="1" applyProtection="1">
      <alignment horizontal="center"/>
      <protection/>
    </xf>
    <xf numFmtId="174" fontId="159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1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1" fillId="35" borderId="0" xfId="39" applyFont="1" applyFill="1" applyBorder="1" applyAlignment="1" applyProtection="1">
      <alignment/>
      <protection/>
    </xf>
    <xf numFmtId="0" fontId="160" fillId="33" borderId="0" xfId="37" applyFont="1" applyFill="1" applyBorder="1" applyAlignment="1" applyProtection="1">
      <alignment horizontal="center"/>
      <protection/>
    </xf>
    <xf numFmtId="172" fontId="57" fillId="50" borderId="30" xfId="39" applyNumberFormat="1" applyFont="1" applyFill="1" applyBorder="1" applyAlignment="1" applyProtection="1">
      <alignment horizontal="center" vertical="center"/>
      <protection locked="0"/>
    </xf>
    <xf numFmtId="174" fontId="142" fillId="26" borderId="0" xfId="40" applyNumberFormat="1" applyFont="1" applyFill="1" applyAlignment="1" applyProtection="1">
      <alignment/>
      <protection/>
    </xf>
    <xf numFmtId="0" fontId="144" fillId="35" borderId="0" xfId="39" applyFont="1" applyFill="1" applyBorder="1" applyProtection="1">
      <alignment/>
      <protection/>
    </xf>
    <xf numFmtId="0" fontId="162" fillId="35" borderId="0" xfId="39" applyFont="1" applyFill="1" applyBorder="1" applyProtection="1">
      <alignment/>
      <protection/>
    </xf>
    <xf numFmtId="0" fontId="162" fillId="35" borderId="0" xfId="39" applyFont="1" applyFill="1" applyProtection="1">
      <alignment/>
      <protection/>
    </xf>
    <xf numFmtId="180" fontId="150" fillId="41" borderId="23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3" fillId="33" borderId="48" xfId="0" applyFont="1" applyFill="1" applyBorder="1" applyAlignment="1" applyProtection="1">
      <alignment horizontal="center"/>
      <protection/>
    </xf>
    <xf numFmtId="172" fontId="164" fillId="33" borderId="30" xfId="39" applyNumberFormat="1" applyFont="1" applyFill="1" applyBorder="1" applyAlignment="1" applyProtection="1">
      <alignment horizontal="center" vertical="center"/>
      <protection/>
    </xf>
    <xf numFmtId="172" fontId="165" fillId="33" borderId="30" xfId="39" applyNumberFormat="1" applyFont="1" applyFill="1" applyBorder="1" applyAlignment="1" applyProtection="1">
      <alignment horizontal="center" vertical="center"/>
      <protection/>
    </xf>
    <xf numFmtId="0" fontId="9" fillId="33" borderId="30" xfId="39" applyNumberFormat="1" applyFont="1" applyFill="1" applyBorder="1" applyAlignment="1" applyProtection="1">
      <alignment horizontal="center" vertical="center"/>
      <protection/>
    </xf>
    <xf numFmtId="0" fontId="9" fillId="38" borderId="30" xfId="39" applyNumberFormat="1" applyFont="1" applyFill="1" applyBorder="1" applyAlignment="1" applyProtection="1">
      <alignment horizontal="center" vertical="center"/>
      <protection locked="0"/>
    </xf>
    <xf numFmtId="38" fontId="18" fillId="33" borderId="63" xfId="40" applyNumberFormat="1" applyFont="1" applyFill="1" applyBorder="1" applyAlignment="1" applyProtection="1">
      <alignment/>
      <protection/>
    </xf>
    <xf numFmtId="38" fontId="18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6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84" fontId="6" fillId="33" borderId="64" xfId="0" applyNumberFormat="1" applyFont="1" applyFill="1" applyBorder="1" applyAlignment="1" applyProtection="1">
      <alignment horizontal="right"/>
      <protection/>
    </xf>
    <xf numFmtId="184" fontId="6" fillId="26" borderId="64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66" fillId="33" borderId="74" xfId="0" applyNumberFormat="1" applyFont="1" applyFill="1" applyBorder="1" applyAlignment="1" applyProtection="1" quotePrefix="1">
      <alignment/>
      <protection/>
    </xf>
    <xf numFmtId="174" fontId="167" fillId="33" borderId="74" xfId="0" applyNumberFormat="1" applyFont="1" applyFill="1" applyBorder="1" applyAlignment="1" applyProtection="1" quotePrefix="1">
      <alignment/>
      <protection/>
    </xf>
    <xf numFmtId="174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66" fillId="33" borderId="119" xfId="0" applyNumberFormat="1" applyFont="1" applyFill="1" applyBorder="1" applyAlignment="1" applyProtection="1" quotePrefix="1">
      <alignment/>
      <protection/>
    </xf>
    <xf numFmtId="174" fontId="166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66" fillId="26" borderId="119" xfId="0" applyNumberFormat="1" applyFont="1" applyFill="1" applyBorder="1" applyAlignment="1" applyProtection="1" quotePrefix="1">
      <alignment/>
      <protection/>
    </xf>
    <xf numFmtId="174" fontId="167" fillId="26" borderId="35" xfId="0" applyNumberFormat="1" applyFont="1" applyFill="1" applyBorder="1" applyAlignment="1" applyProtection="1" quotePrefix="1">
      <alignment/>
      <protection/>
    </xf>
    <xf numFmtId="174" fontId="166" fillId="33" borderId="90" xfId="0" applyNumberFormat="1" applyFont="1" applyFill="1" applyBorder="1" applyAlignment="1" applyProtection="1" quotePrefix="1">
      <alignment/>
      <protection/>
    </xf>
    <xf numFmtId="174" fontId="167" fillId="33" borderId="91" xfId="0" applyNumberFormat="1" applyFont="1" applyFill="1" applyBorder="1" applyAlignment="1" applyProtection="1" quotePrefix="1">
      <alignment/>
      <protection/>
    </xf>
    <xf numFmtId="174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39" applyFont="1" applyFill="1" applyBorder="1" applyProtection="1">
      <alignment/>
      <protection/>
    </xf>
    <xf numFmtId="0" fontId="35" fillId="33" borderId="46" xfId="39" applyFont="1" applyFill="1" applyBorder="1" applyProtection="1">
      <alignment/>
      <protection/>
    </xf>
    <xf numFmtId="0" fontId="35" fillId="33" borderId="32" xfId="39" applyFont="1" applyFill="1" applyBorder="1" applyProtection="1">
      <alignment/>
      <protection/>
    </xf>
    <xf numFmtId="182" fontId="39" fillId="51" borderId="121" xfId="0" applyNumberFormat="1" applyFont="1" applyFill="1" applyBorder="1" applyAlignment="1" applyProtection="1">
      <alignment horizontal="center"/>
      <protection/>
    </xf>
    <xf numFmtId="182" fontId="40" fillId="43" borderId="121" xfId="0" applyNumberFormat="1" applyFont="1" applyFill="1" applyBorder="1" applyAlignment="1" applyProtection="1">
      <alignment horizontal="center"/>
      <protection/>
    </xf>
    <xf numFmtId="182" fontId="168" fillId="51" borderId="121" xfId="0" applyNumberFormat="1" applyFont="1" applyFill="1" applyBorder="1" applyAlignment="1" applyProtection="1">
      <alignment horizontal="center"/>
      <protection/>
    </xf>
    <xf numFmtId="182" fontId="169" fillId="43" borderId="121" xfId="0" applyNumberFormat="1" applyFont="1" applyFill="1" applyBorder="1" applyAlignment="1" applyProtection="1">
      <alignment horizontal="center"/>
      <protection/>
    </xf>
    <xf numFmtId="182" fontId="39" fillId="52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170" fillId="52" borderId="121" xfId="0" applyNumberFormat="1" applyFont="1" applyFill="1" applyBorder="1" applyAlignment="1" applyProtection="1">
      <alignment horizontal="center"/>
      <protection/>
    </xf>
    <xf numFmtId="182" fontId="169" fillId="52" borderId="121" xfId="0" applyNumberFormat="1" applyFont="1" applyFill="1" applyBorder="1" applyAlignment="1" applyProtection="1">
      <alignment horizontal="center"/>
      <protection/>
    </xf>
    <xf numFmtId="182" fontId="39" fillId="40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171" fillId="40" borderId="121" xfId="0" applyNumberFormat="1" applyFont="1" applyFill="1" applyBorder="1" applyAlignment="1" applyProtection="1">
      <alignment horizontal="center"/>
      <protection/>
    </xf>
    <xf numFmtId="182" fontId="172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58" fillId="38" borderId="122" xfId="0" applyNumberFormat="1" applyFont="1" applyFill="1" applyBorder="1" applyAlignment="1" applyProtection="1">
      <alignment horizontal="center"/>
      <protection/>
    </xf>
    <xf numFmtId="182" fontId="158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4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3" fillId="44" borderId="45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4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4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4" fillId="44" borderId="10" xfId="0" applyNumberFormat="1" applyFont="1" applyFill="1" applyBorder="1" applyAlignment="1" applyProtection="1">
      <alignment/>
      <protection locked="0"/>
    </xf>
    <xf numFmtId="174" fontId="159" fillId="26" borderId="0" xfId="0" applyNumberFormat="1" applyFont="1" applyFill="1" applyBorder="1" applyAlignment="1" applyProtection="1" quotePrefix="1">
      <alignment horizontal="center"/>
      <protection/>
    </xf>
    <xf numFmtId="174" fontId="159" fillId="33" borderId="0" xfId="0" applyNumberFormat="1" applyFont="1" applyFill="1" applyBorder="1" applyAlignment="1" applyProtection="1" quotePrefix="1">
      <alignment horizontal="center"/>
      <protection/>
    </xf>
    <xf numFmtId="176" fontId="67" fillId="53" borderId="0" xfId="33" applyNumberFormat="1" applyFont="1" applyFill="1" applyBorder="1" applyAlignment="1">
      <alignment horizontal="center"/>
      <protection/>
    </xf>
    <xf numFmtId="179" fontId="67" fillId="53" borderId="0" xfId="33" applyNumberFormat="1" applyFont="1" applyFill="1" applyBorder="1" applyAlignment="1">
      <alignment horizontal="center"/>
      <protection/>
    </xf>
    <xf numFmtId="179" fontId="66" fillId="26" borderId="0" xfId="33" applyNumberFormat="1" applyFont="1" applyFill="1" applyBorder="1" applyAlignment="1">
      <alignment horizontal="center"/>
      <protection/>
    </xf>
    <xf numFmtId="176" fontId="66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66" fillId="33" borderId="0" xfId="33" applyNumberFormat="1" applyFont="1" applyFill="1" applyBorder="1" applyAlignment="1">
      <alignment/>
      <protection/>
    </xf>
    <xf numFmtId="179" fontId="66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8" fontId="68" fillId="26" borderId="72" xfId="33" applyNumberFormat="1" applyFont="1" applyFill="1" applyBorder="1" applyAlignment="1">
      <alignment horizontal="center"/>
      <protection/>
    </xf>
    <xf numFmtId="178" fontId="68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77" fontId="66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66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66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77" fontId="66" fillId="26" borderId="20" xfId="33" applyNumberFormat="1" applyFont="1" applyFill="1" applyBorder="1">
      <alignment/>
      <protection/>
    </xf>
    <xf numFmtId="176" fontId="66" fillId="26" borderId="20" xfId="33" applyNumberFormat="1" applyFont="1" applyFill="1" applyBorder="1" applyAlignment="1">
      <alignment horizontal="left"/>
      <protection/>
    </xf>
    <xf numFmtId="195" fontId="174" fillId="26" borderId="48" xfId="0" applyNumberFormat="1" applyFont="1" applyFill="1" applyBorder="1" applyAlignment="1" applyProtection="1">
      <alignment horizontal="center"/>
      <protection locked="0"/>
    </xf>
    <xf numFmtId="195" fontId="146" fillId="39" borderId="22" xfId="0" applyNumberFormat="1" applyFont="1" applyFill="1" applyBorder="1" applyAlignment="1" applyProtection="1" quotePrefix="1">
      <alignment horizontal="center"/>
      <protection/>
    </xf>
    <xf numFmtId="195" fontId="2" fillId="26" borderId="0" xfId="0" applyNumberFormat="1" applyFont="1" applyFill="1" applyBorder="1" applyAlignment="1" applyProtection="1">
      <alignment/>
      <protection/>
    </xf>
    <xf numFmtId="195" fontId="151" fillId="42" borderId="22" xfId="0" applyNumberFormat="1" applyFont="1" applyFill="1" applyBorder="1" applyAlignment="1" applyProtection="1" quotePrefix="1">
      <alignment horizontal="center"/>
      <protection/>
    </xf>
    <xf numFmtId="195" fontId="156" fillId="42" borderId="22" xfId="0" applyNumberFormat="1" applyFont="1" applyFill="1" applyBorder="1" applyAlignment="1" applyProtection="1" quotePrefix="1">
      <alignment horizontal="center"/>
      <protection/>
    </xf>
    <xf numFmtId="195" fontId="6" fillId="26" borderId="0" xfId="0" applyNumberFormat="1" applyFont="1" applyFill="1" applyAlignment="1" applyProtection="1">
      <alignment horizontal="right"/>
      <protection/>
    </xf>
    <xf numFmtId="195" fontId="150" fillId="41" borderId="22" xfId="0" applyNumberFormat="1" applyFont="1" applyFill="1" applyBorder="1" applyAlignment="1" applyProtection="1" quotePrefix="1">
      <alignment horizontal="center"/>
      <protection/>
    </xf>
    <xf numFmtId="195" fontId="157" fillId="41" borderId="22" xfId="0" applyNumberFormat="1" applyFont="1" applyFill="1" applyBorder="1" applyAlignment="1" applyProtection="1" quotePrefix="1">
      <alignment horizontal="center"/>
      <protection/>
    </xf>
    <xf numFmtId="195" fontId="4" fillId="33" borderId="85" xfId="0" applyNumberFormat="1" applyFont="1" applyFill="1" applyBorder="1" applyAlignment="1" applyProtection="1" quotePrefix="1">
      <alignment horizontal="center"/>
      <protection/>
    </xf>
    <xf numFmtId="195" fontId="3" fillId="33" borderId="106" xfId="0" applyNumberFormat="1" applyFont="1" applyFill="1" applyBorder="1" applyAlignment="1" applyProtection="1" quotePrefix="1">
      <alignment horizontal="center"/>
      <protection/>
    </xf>
    <xf numFmtId="178" fontId="66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66" fillId="33" borderId="0" xfId="33" applyNumberFormat="1" applyFont="1" applyFill="1" applyBorder="1" applyAlignment="1">
      <alignment horizontal="center"/>
      <protection/>
    </xf>
    <xf numFmtId="178" fontId="66" fillId="38" borderId="0" xfId="33" applyNumberFormat="1" applyFont="1" applyFill="1" applyBorder="1" applyAlignment="1">
      <alignment horizontal="center"/>
      <protection/>
    </xf>
    <xf numFmtId="193" fontId="142" fillId="40" borderId="27" xfId="34" applyNumberFormat="1" applyFont="1" applyFill="1" applyBorder="1" applyAlignment="1">
      <alignment horizontal="center"/>
      <protection/>
    </xf>
    <xf numFmtId="179" fontId="66" fillId="26" borderId="0" xfId="33" applyNumberFormat="1" applyFont="1" applyFill="1" applyBorder="1" applyAlignment="1">
      <alignment horizontal="center"/>
      <protection/>
    </xf>
    <xf numFmtId="179" fontId="66" fillId="33" borderId="0" xfId="33" applyNumberFormat="1" applyFont="1" applyFill="1" applyBorder="1" applyAlignment="1">
      <alignment horizontal="center"/>
      <protection/>
    </xf>
    <xf numFmtId="177" fontId="66" fillId="53" borderId="0" xfId="33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176" fontId="66" fillId="26" borderId="0" xfId="33" applyNumberFormat="1" applyFont="1" applyFill="1" applyBorder="1" applyAlignment="1">
      <alignment horizontal="center"/>
      <protection/>
    </xf>
    <xf numFmtId="38" fontId="173" fillId="44" borderId="45" xfId="40" applyNumberFormat="1" applyFont="1" applyFill="1" applyBorder="1" applyAlignment="1" applyProtection="1">
      <alignment horizontal="center"/>
      <protection/>
    </xf>
    <xf numFmtId="38" fontId="173" fillId="44" borderId="46" xfId="40" applyNumberFormat="1" applyFont="1" applyFill="1" applyBorder="1" applyAlignment="1" applyProtection="1">
      <alignment horizontal="center"/>
      <protection/>
    </xf>
    <xf numFmtId="38" fontId="173" fillId="44" borderId="47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186" fontId="175" fillId="46" borderId="31" xfId="33" applyNumberFormat="1" applyFont="1" applyFill="1" applyBorder="1" applyAlignment="1" applyProtection="1">
      <alignment horizontal="center" vertical="center"/>
      <protection locked="0"/>
    </xf>
    <xf numFmtId="186" fontId="175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47" fillId="33" borderId="65" xfId="40" applyNumberFormat="1" applyFont="1" applyFill="1" applyBorder="1" applyAlignment="1" applyProtection="1">
      <alignment horizontal="center"/>
      <protection/>
    </xf>
    <xf numFmtId="38" fontId="47" fillId="33" borderId="48" xfId="40" applyNumberFormat="1" applyFont="1" applyFill="1" applyBorder="1" applyAlignment="1" applyProtection="1">
      <alignment horizontal="center"/>
      <protection/>
    </xf>
    <xf numFmtId="38" fontId="47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4" fillId="47" borderId="68" xfId="40" applyNumberFormat="1" applyFont="1" applyFill="1" applyBorder="1" applyAlignment="1" applyProtection="1">
      <alignment horizontal="center"/>
      <protection/>
    </xf>
    <xf numFmtId="38" fontId="154" fillId="47" borderId="20" xfId="40" applyNumberFormat="1" applyFont="1" applyFill="1" applyBorder="1" applyAlignment="1" applyProtection="1">
      <alignment horizontal="center"/>
      <protection/>
    </xf>
    <xf numFmtId="38" fontId="154" fillId="47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38" fontId="24" fillId="44" borderId="54" xfId="40" applyNumberFormat="1" applyFont="1" applyFill="1" applyBorder="1" applyAlignment="1" applyProtection="1">
      <alignment horizontal="center"/>
      <protection/>
    </xf>
    <xf numFmtId="38" fontId="24" fillId="44" borderId="56" xfId="40" applyNumberFormat="1" applyFont="1" applyFill="1" applyBorder="1" applyAlignment="1" applyProtection="1">
      <alignment horizontal="center"/>
      <protection/>
    </xf>
    <xf numFmtId="38" fontId="24" fillId="44" borderId="57" xfId="40" applyNumberFormat="1" applyFont="1" applyFill="1" applyBorder="1" applyAlignment="1" applyProtection="1">
      <alignment horizontal="center"/>
      <protection/>
    </xf>
    <xf numFmtId="38" fontId="24" fillId="44" borderId="62" xfId="40" applyNumberFormat="1" applyFont="1" applyFill="1" applyBorder="1" applyAlignment="1" applyProtection="1">
      <alignment horizontal="center"/>
      <protection/>
    </xf>
    <xf numFmtId="38" fontId="24" fillId="44" borderId="50" xfId="40" applyNumberFormat="1" applyFont="1" applyFill="1" applyBorder="1" applyAlignment="1" applyProtection="1">
      <alignment horizontal="center"/>
      <protection/>
    </xf>
    <xf numFmtId="38" fontId="24" fillId="44" borderId="51" xfId="40" applyNumberFormat="1" applyFont="1" applyFill="1" applyBorder="1" applyAlignment="1" applyProtection="1">
      <alignment horizontal="center"/>
      <protection/>
    </xf>
    <xf numFmtId="38" fontId="24" fillId="44" borderId="63" xfId="40" applyNumberFormat="1" applyFont="1" applyFill="1" applyBorder="1" applyAlignment="1" applyProtection="1">
      <alignment horizontal="center"/>
      <protection/>
    </xf>
    <xf numFmtId="38" fontId="24" fillId="44" borderId="52" xfId="40" applyNumberFormat="1" applyFont="1" applyFill="1" applyBorder="1" applyAlignment="1" applyProtection="1">
      <alignment horizontal="center"/>
      <protection/>
    </xf>
    <xf numFmtId="38" fontId="24" fillId="44" borderId="53" xfId="40" applyNumberFormat="1" applyFont="1" applyFill="1" applyBorder="1" applyAlignment="1" applyProtection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24" fillId="54" borderId="45" xfId="40" applyNumberFormat="1" applyFont="1" applyFill="1" applyBorder="1" applyAlignment="1" applyProtection="1">
      <alignment horizontal="center"/>
      <protection/>
    </xf>
    <xf numFmtId="38" fontId="24" fillId="54" borderId="46" xfId="40" applyNumberFormat="1" applyFont="1" applyFill="1" applyBorder="1" applyAlignment="1" applyProtection="1">
      <alignment horizontal="center"/>
      <protection/>
    </xf>
    <xf numFmtId="38" fontId="24" fillId="54" borderId="47" xfId="40" applyNumberFormat="1" applyFont="1" applyFill="1" applyBorder="1" applyAlignment="1" applyProtection="1">
      <alignment horizontal="center"/>
      <protection/>
    </xf>
    <xf numFmtId="0" fontId="176" fillId="26" borderId="0" xfId="36" applyFont="1" applyFill="1" applyBorder="1" applyAlignment="1" applyProtection="1">
      <alignment horizontal="center"/>
      <protection/>
    </xf>
    <xf numFmtId="185" fontId="151" fillId="33" borderId="31" xfId="36" applyNumberFormat="1" applyFont="1" applyFill="1" applyBorder="1" applyAlignment="1" applyProtection="1">
      <alignment horizontal="center"/>
      <protection/>
    </xf>
    <xf numFmtId="185" fontId="151" fillId="33" borderId="46" xfId="36" applyNumberFormat="1" applyFont="1" applyFill="1" applyBorder="1" applyAlignment="1" applyProtection="1">
      <alignment horizontal="center"/>
      <protection/>
    </xf>
    <xf numFmtId="185" fontId="151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77" fillId="26" borderId="0" xfId="36" applyNumberFormat="1" applyFont="1" applyFill="1" applyBorder="1" applyAlignment="1" applyProtection="1">
      <alignment horizontal="center"/>
      <protection/>
    </xf>
    <xf numFmtId="0" fontId="142" fillId="26" borderId="0" xfId="33" applyFont="1" applyFill="1" applyAlignment="1" applyProtection="1" quotePrefix="1">
      <alignment horizontal="center"/>
      <protection/>
    </xf>
    <xf numFmtId="187" fontId="142" fillId="33" borderId="31" xfId="38" applyNumberFormat="1" applyFont="1" applyFill="1" applyBorder="1" applyAlignment="1" applyProtection="1" quotePrefix="1">
      <alignment horizontal="center" vertical="center"/>
      <protection locked="0"/>
    </xf>
    <xf numFmtId="187" fontId="142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1" fillId="36" borderId="31" xfId="70" applyFill="1" applyBorder="1" applyAlignment="1" applyProtection="1">
      <alignment horizontal="center" vertical="center"/>
      <protection locked="0"/>
    </xf>
    <xf numFmtId="0" fontId="178" fillId="36" borderId="46" xfId="70" applyFont="1" applyFill="1" applyBorder="1" applyAlignment="1" applyProtection="1">
      <alignment horizontal="center" vertical="center"/>
      <protection locked="0"/>
    </xf>
    <xf numFmtId="0" fontId="178" fillId="36" borderId="32" xfId="70" applyFont="1" applyFill="1" applyBorder="1" applyAlignment="1" applyProtection="1">
      <alignment horizontal="center" vertical="center"/>
      <protection locked="0"/>
    </xf>
    <xf numFmtId="38" fontId="141" fillId="33" borderId="31" xfId="70" applyNumberFormat="1" applyFill="1" applyBorder="1" applyAlignment="1" applyProtection="1">
      <alignment horizontal="center" vertical="center"/>
      <protection locked="0"/>
    </xf>
    <xf numFmtId="38" fontId="179" fillId="33" borderId="46" xfId="70" applyNumberFormat="1" applyFont="1" applyFill="1" applyBorder="1" applyAlignment="1" applyProtection="1">
      <alignment horizontal="center" vertical="center"/>
      <protection locked="0"/>
    </xf>
    <xf numFmtId="38" fontId="179" fillId="33" borderId="32" xfId="70" applyNumberFormat="1" applyFont="1" applyFill="1" applyBorder="1" applyAlignment="1" applyProtection="1">
      <alignment horizontal="center" vertical="center"/>
      <protection locked="0"/>
    </xf>
    <xf numFmtId="0" fontId="55" fillId="50" borderId="124" xfId="39" applyFont="1" applyFill="1" applyBorder="1" applyAlignment="1" applyProtection="1" quotePrefix="1">
      <alignment horizontal="center" wrapText="1"/>
      <protection locked="0"/>
    </xf>
    <xf numFmtId="0" fontId="55" fillId="50" borderId="56" xfId="39" applyFont="1" applyFill="1" applyBorder="1" applyAlignment="1" applyProtection="1">
      <alignment horizontal="center" wrapText="1"/>
      <protection locked="0"/>
    </xf>
    <xf numFmtId="0" fontId="55" fillId="50" borderId="125" xfId="39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80" fillId="26" borderId="48" xfId="33" applyFont="1" applyFill="1" applyBorder="1" applyAlignment="1" applyProtection="1" quotePrefix="1">
      <alignment horizontal="center"/>
      <protection/>
    </xf>
    <xf numFmtId="0" fontId="181" fillId="38" borderId="29" xfId="39" applyFont="1" applyFill="1" applyBorder="1" applyAlignment="1" applyProtection="1">
      <alignment horizontal="center" vertical="center" wrapText="1"/>
      <protection locked="0"/>
    </xf>
    <xf numFmtId="0" fontId="181" fillId="38" borderId="20" xfId="39" applyFont="1" applyFill="1" applyBorder="1" applyAlignment="1" applyProtection="1">
      <alignment horizontal="center" vertical="center" wrapText="1"/>
      <protection locked="0"/>
    </xf>
    <xf numFmtId="0" fontId="181" fillId="38" borderId="21" xfId="39" applyFont="1" applyFill="1" applyBorder="1" applyAlignment="1" applyProtection="1">
      <alignment horizontal="center" vertical="center" wrapText="1"/>
      <protection locked="0"/>
    </xf>
    <xf numFmtId="0" fontId="182" fillId="33" borderId="64" xfId="37" applyFont="1" applyFill="1" applyBorder="1" applyAlignment="1" applyProtection="1">
      <alignment horizontal="center"/>
      <protection/>
    </xf>
    <xf numFmtId="0" fontId="182" fillId="33" borderId="0" xfId="37" applyFont="1" applyFill="1" applyBorder="1" applyAlignment="1" applyProtection="1">
      <alignment horizontal="center"/>
      <protection/>
    </xf>
    <xf numFmtId="0" fontId="182" fillId="33" borderId="33" xfId="37" applyFont="1" applyFill="1" applyBorder="1" applyAlignment="1" applyProtection="1">
      <alignment horizontal="center"/>
      <protection/>
    </xf>
    <xf numFmtId="0" fontId="160" fillId="49" borderId="119" xfId="37" applyFont="1" applyFill="1" applyBorder="1" applyAlignment="1" applyProtection="1">
      <alignment horizont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77" fillId="33" borderId="0" xfId="36" applyNumberFormat="1" applyFont="1" applyFill="1" applyBorder="1" applyAlignment="1" applyProtection="1">
      <alignment horizontal="center"/>
      <protection/>
    </xf>
    <xf numFmtId="0" fontId="180" fillId="33" borderId="48" xfId="33" applyFont="1" applyFill="1" applyBorder="1" applyAlignment="1" applyProtection="1" quotePrefix="1">
      <alignment horizontal="center"/>
      <protection/>
    </xf>
    <xf numFmtId="185" fontId="4" fillId="26" borderId="31" xfId="36" applyNumberFormat="1" applyFont="1" applyFill="1" applyBorder="1" applyAlignment="1" applyProtection="1">
      <alignment horizontal="center"/>
      <protection/>
    </xf>
    <xf numFmtId="185" fontId="4" fillId="26" borderId="46" xfId="36" applyNumberFormat="1" applyFont="1" applyFill="1" applyBorder="1" applyAlignment="1" applyProtection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0" fontId="182" fillId="33" borderId="119" xfId="37" applyFont="1" applyFill="1" applyBorder="1" applyAlignment="1" applyProtection="1">
      <alignment horizontal="center"/>
      <protection/>
    </xf>
    <xf numFmtId="0" fontId="182" fillId="33" borderId="126" xfId="37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1" xfId="38" applyNumberFormat="1" applyFont="1" applyFill="1" applyBorder="1" applyAlignment="1" applyProtection="1" quotePrefix="1">
      <alignment horizontal="center" vertical="center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6" fontId="175" fillId="46" borderId="31" xfId="33" applyNumberFormat="1" applyFont="1" applyFill="1" applyBorder="1" applyAlignment="1" applyProtection="1">
      <alignment horizontal="center" vertical="center"/>
      <protection/>
    </xf>
    <xf numFmtId="186" fontId="175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8" fillId="33" borderId="29" xfId="39" applyFont="1" applyFill="1" applyBorder="1" applyAlignment="1" applyProtection="1">
      <alignment horizontal="center" vertical="center" wrapText="1"/>
      <protection/>
    </xf>
    <xf numFmtId="0" fontId="58" fillId="33" borderId="20" xfId="39" applyFont="1" applyFill="1" applyBorder="1" applyAlignment="1" applyProtection="1">
      <alignment horizontal="center" vertical="center" wrapText="1"/>
      <protection/>
    </xf>
    <xf numFmtId="0" fontId="58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3" fillId="36" borderId="31" xfId="70" applyFont="1" applyFill="1" applyBorder="1" applyAlignment="1" applyProtection="1">
      <alignment horizontal="center" vertical="center"/>
      <protection/>
    </xf>
    <xf numFmtId="0" fontId="183" fillId="36" borderId="46" xfId="70" applyFont="1" applyFill="1" applyBorder="1" applyAlignment="1" applyProtection="1">
      <alignment horizontal="center" vertical="center"/>
      <protection/>
    </xf>
    <xf numFmtId="0" fontId="183" fillId="36" borderId="32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67">
        <f>+'Cash-Flow-2019-Leva'!P5</f>
        <v>2019</v>
      </c>
      <c r="M2" s="567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72">
        <f>+'Cash-Flow-2019-Leva'!P5</f>
        <v>2019</v>
      </c>
      <c r="I7" s="572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2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2" t="s">
        <v>319</v>
      </c>
      <c r="E15" s="529">
        <f>+H7-1</f>
        <v>2018</v>
      </c>
      <c r="F15" s="472" t="s">
        <v>320</v>
      </c>
      <c r="G15" s="67"/>
      <c r="H15" s="67"/>
      <c r="I15" s="67"/>
      <c r="J15" s="472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0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1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2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63">
        <f>+'Cash-Flow-2019-Leva'!P5</f>
        <v>2019</v>
      </c>
      <c r="G25" s="563"/>
      <c r="H25" s="563"/>
      <c r="I25" s="563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2" t="s">
        <v>326</v>
      </c>
      <c r="E28" s="67"/>
      <c r="F28" s="67"/>
      <c r="G28" s="67"/>
      <c r="H28" s="67"/>
      <c r="I28" s="67"/>
      <c r="J28" s="67"/>
      <c r="K28" s="531">
        <f>+H7</f>
        <v>2019</v>
      </c>
      <c r="L28" s="532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2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2" t="s">
        <v>273</v>
      </c>
      <c r="E32" s="67"/>
      <c r="F32" s="67"/>
      <c r="G32" s="568">
        <f>+H7</f>
        <v>2019</v>
      </c>
      <c r="H32" s="568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2" t="s">
        <v>331</v>
      </c>
      <c r="E34" s="67"/>
      <c r="F34" s="533"/>
      <c r="G34" s="533"/>
      <c r="H34" s="533"/>
      <c r="I34" s="534"/>
      <c r="J34" s="531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70">
        <f>+F25-1</f>
        <v>2018</v>
      </c>
      <c r="M35" s="570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2" t="s">
        <v>276</v>
      </c>
      <c r="E36" s="67"/>
      <c r="F36" s="533"/>
      <c r="G36" s="533"/>
      <c r="H36" s="533"/>
      <c r="I36" s="534"/>
      <c r="J36" s="535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2" t="s">
        <v>275</v>
      </c>
      <c r="E37" s="67"/>
      <c r="F37" s="533"/>
      <c r="G37" s="569">
        <f>+H7-1</f>
        <v>2018</v>
      </c>
      <c r="H37" s="569"/>
      <c r="I37" s="536" t="s">
        <v>333</v>
      </c>
      <c r="J37" s="533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0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64">
        <f>+'Cash-Flow-2019-Leva'!P5</f>
        <v>2019</v>
      </c>
      <c r="G48" s="564"/>
      <c r="H48" s="564"/>
      <c r="I48" s="564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66">
        <f>+'Cash-Flow-2019-Leva'!P5</f>
        <v>2019</v>
      </c>
      <c r="H49" s="566"/>
      <c r="I49" s="566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65">
        <f>+'Cash-Flow-2019-Leva'!P5</f>
        <v>2019</v>
      </c>
      <c r="G50" s="565"/>
      <c r="H50" s="565"/>
      <c r="I50" s="565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1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7" t="s">
        <v>340</v>
      </c>
      <c r="F60" s="87"/>
      <c r="G60" s="87"/>
      <c r="H60" s="87"/>
      <c r="I60" s="87"/>
      <c r="J60" s="87"/>
      <c r="K60" s="87"/>
      <c r="L60" s="538">
        <f>+'Cash-Flow-2019-Leva'!P5</f>
        <v>2019</v>
      </c>
      <c r="M60" s="539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0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3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71">
        <f>+'Cash-Flow-2019-Leva'!P5</f>
        <v>2019</v>
      </c>
      <c r="F66" s="571"/>
      <c r="G66" s="571"/>
      <c r="H66" s="571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1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2" t="s">
        <v>40</v>
      </c>
      <c r="E68" s="87"/>
      <c r="F68" s="87"/>
      <c r="G68" s="87"/>
      <c r="H68" s="562">
        <f>+'Cash-Flow-2019-Leva'!P5</f>
        <v>2019</v>
      </c>
      <c r="I68" s="562"/>
      <c r="J68" s="562"/>
      <c r="K68" s="87" t="s">
        <v>42</v>
      </c>
      <c r="L68" s="543"/>
      <c r="M68" s="544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5" t="s">
        <v>41</v>
      </c>
      <c r="E69" s="546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7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5" t="s">
        <v>48</v>
      </c>
      <c r="E70" s="90"/>
      <c r="F70" s="90"/>
      <c r="G70" s="90"/>
      <c r="H70" s="90"/>
      <c r="I70" s="90"/>
      <c r="J70" s="90"/>
      <c r="K70" s="548"/>
      <c r="L70" s="90"/>
      <c r="M70" s="547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49" t="s">
        <v>347</v>
      </c>
      <c r="E71" s="88"/>
      <c r="F71" s="88"/>
      <c r="G71" s="88"/>
      <c r="H71" s="88"/>
      <c r="I71" s="88"/>
      <c r="J71" s="88"/>
      <c r="K71" s="550"/>
      <c r="L71" s="551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7:I7"/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9" sqref="I8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655" t="s">
        <v>356</v>
      </c>
      <c r="C1" s="656"/>
      <c r="D1" s="656"/>
      <c r="E1" s="656"/>
      <c r="F1" s="657"/>
      <c r="G1" s="442" t="s">
        <v>252</v>
      </c>
      <c r="H1" s="435"/>
      <c r="I1" s="647">
        <v>131436477</v>
      </c>
      <c r="J1" s="648"/>
      <c r="K1" s="436"/>
      <c r="L1" s="444" t="s">
        <v>253</v>
      </c>
      <c r="M1" s="440">
        <v>4000</v>
      </c>
      <c r="N1" s="436"/>
      <c r="O1" s="444" t="s">
        <v>245</v>
      </c>
      <c r="P1" s="462"/>
      <c r="Q1" s="437"/>
      <c r="R1" s="352" t="s">
        <v>286</v>
      </c>
      <c r="S1" s="579"/>
      <c r="T1" s="580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42" t="s">
        <v>246</v>
      </c>
      <c r="C2" s="643"/>
      <c r="D2" s="643"/>
      <c r="E2" s="643"/>
      <c r="F2" s="644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662" t="s">
        <v>258</v>
      </c>
      <c r="C3" s="663"/>
      <c r="D3" s="663"/>
      <c r="E3" s="663"/>
      <c r="F3" s="664"/>
      <c r="G3" s="443" t="s">
        <v>244</v>
      </c>
      <c r="H3" s="652"/>
      <c r="I3" s="653"/>
      <c r="J3" s="653"/>
      <c r="K3" s="654"/>
      <c r="L3" s="28" t="s">
        <v>254</v>
      </c>
      <c r="M3" s="649" t="s">
        <v>355</v>
      </c>
      <c r="N3" s="650"/>
      <c r="O3" s="650"/>
      <c r="P3" s="651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46" t="s">
        <v>251</v>
      </c>
      <c r="E5" s="646"/>
      <c r="F5" s="646"/>
      <c r="G5" s="646"/>
      <c r="H5" s="646"/>
      <c r="I5" s="646"/>
      <c r="J5" s="646"/>
      <c r="K5" s="646"/>
      <c r="L5" s="646"/>
      <c r="M5" s="20"/>
      <c r="N5" s="20"/>
      <c r="O5" s="24" t="s">
        <v>17</v>
      </c>
      <c r="P5" s="460">
        <v>2019</v>
      </c>
      <c r="Q5" s="20"/>
      <c r="R5" s="632" t="s">
        <v>185</v>
      </c>
      <c r="S5" s="632"/>
      <c r="T5" s="632"/>
      <c r="U5" s="15"/>
    </row>
    <row r="6" spans="1:28" s="3" customFormat="1" ht="17.25" customHeight="1">
      <c r="A6" s="15"/>
      <c r="B6" s="27" t="s">
        <v>249</v>
      </c>
      <c r="C6" s="27"/>
      <c r="D6" s="646" t="s">
        <v>250</v>
      </c>
      <c r="E6" s="646"/>
      <c r="F6" s="646"/>
      <c r="G6" s="646"/>
      <c r="H6" s="646"/>
      <c r="I6" s="646"/>
      <c r="J6" s="646"/>
      <c r="K6" s="646"/>
      <c r="L6" s="646"/>
      <c r="M6" s="21"/>
      <c r="N6" s="16"/>
      <c r="O6" s="15"/>
      <c r="P6" s="15"/>
      <c r="Q6" s="13"/>
      <c r="R6" s="645">
        <f>+P4</f>
        <v>0</v>
      </c>
      <c r="S6" s="645"/>
      <c r="T6" s="645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661" t="str">
        <f>+B1</f>
        <v>ОМБУДСМАН НА РЕПУБЛИКА БЪЛГАРИЯ</v>
      </c>
      <c r="E8" s="661"/>
      <c r="F8" s="661"/>
      <c r="G8" s="661"/>
      <c r="H8" s="661"/>
      <c r="I8" s="661"/>
      <c r="J8" s="661"/>
      <c r="K8" s="661"/>
      <c r="L8" s="661"/>
      <c r="M8" s="441" t="s">
        <v>255</v>
      </c>
      <c r="N8" s="16"/>
      <c r="O8" s="552" t="s">
        <v>311</v>
      </c>
      <c r="P8" s="298" t="s">
        <v>50</v>
      </c>
      <c r="Q8" s="13"/>
      <c r="R8" s="633">
        <f>+P5</f>
        <v>2019</v>
      </c>
      <c r="S8" s="634"/>
      <c r="T8" s="63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636" t="s">
        <v>0</v>
      </c>
      <c r="S10" s="637"/>
      <c r="T10" s="63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553" t="str">
        <f>+O8</f>
        <v>31.12.2019 г.</v>
      </c>
      <c r="G11" s="553" t="s">
        <v>354</v>
      </c>
      <c r="H11" s="554"/>
      <c r="I11" s="555" t="str">
        <f>+O8</f>
        <v>31.12.2019 г.</v>
      </c>
      <c r="J11" s="556" t="str">
        <f>G11</f>
        <v>31.12.2018 г.</v>
      </c>
      <c r="K11" s="557"/>
      <c r="L11" s="558" t="str">
        <f>+O8</f>
        <v>31.12.2019 г.</v>
      </c>
      <c r="M11" s="559" t="str">
        <f>G11</f>
        <v>31.12.2018 г.</v>
      </c>
      <c r="N11" s="557"/>
      <c r="O11" s="560" t="str">
        <f>+O8</f>
        <v>31.12.2019 г.</v>
      </c>
      <c r="P11" s="561" t="str">
        <f>G11</f>
        <v>31.12.2018 г.</v>
      </c>
      <c r="Q11" s="360"/>
      <c r="R11" s="639" t="s">
        <v>186</v>
      </c>
      <c r="S11" s="640"/>
      <c r="T11" s="64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8" t="s">
        <v>133</v>
      </c>
      <c r="C12" s="469"/>
      <c r="D12" s="470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/>
      <c r="G15" s="237"/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0</v>
      </c>
      <c r="P15" s="387">
        <f t="shared" si="0"/>
        <v>0</v>
      </c>
      <c r="Q15" s="31"/>
      <c r="R15" s="590" t="s">
        <v>154</v>
      </c>
      <c r="S15" s="591"/>
      <c r="T15" s="592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26" t="s">
        <v>296</v>
      </c>
      <c r="S16" s="627"/>
      <c r="T16" s="628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4"/>
      <c r="D17" s="515"/>
      <c r="E17" s="15"/>
      <c r="F17" s="525"/>
      <c r="G17" s="526"/>
      <c r="H17" s="15"/>
      <c r="I17" s="525"/>
      <c r="J17" s="526"/>
      <c r="K17" s="235"/>
      <c r="L17" s="525"/>
      <c r="M17" s="526"/>
      <c r="N17" s="235"/>
      <c r="O17" s="521">
        <f>+ROUND(+F17+I17+L17,0)</f>
        <v>0</v>
      </c>
      <c r="P17" s="522">
        <f>+ROUND(+G17+J17+M17,0)</f>
        <v>0</v>
      </c>
      <c r="Q17" s="31"/>
      <c r="R17" s="629" t="s">
        <v>289</v>
      </c>
      <c r="S17" s="630"/>
      <c r="T17" s="631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/>
      <c r="G18" s="237"/>
      <c r="H18" s="15"/>
      <c r="I18" s="238"/>
      <c r="J18" s="237"/>
      <c r="K18" s="235"/>
      <c r="L18" s="238"/>
      <c r="M18" s="237"/>
      <c r="N18" s="235"/>
      <c r="O18" s="374">
        <f t="shared" si="0"/>
        <v>0</v>
      </c>
      <c r="P18" s="387">
        <f t="shared" si="0"/>
        <v>0</v>
      </c>
      <c r="Q18" s="31"/>
      <c r="R18" s="590" t="s">
        <v>155</v>
      </c>
      <c r="S18" s="591"/>
      <c r="T18" s="592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576" t="s">
        <v>156</v>
      </c>
      <c r="S19" s="577"/>
      <c r="T19" s="578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3270</v>
      </c>
      <c r="G20" s="239">
        <v>3270</v>
      </c>
      <c r="H20" s="15"/>
      <c r="I20" s="240"/>
      <c r="J20" s="239"/>
      <c r="K20" s="235"/>
      <c r="L20" s="240"/>
      <c r="M20" s="239"/>
      <c r="N20" s="235"/>
      <c r="O20" s="369">
        <f t="shared" si="0"/>
        <v>3270</v>
      </c>
      <c r="P20" s="421">
        <f t="shared" si="0"/>
        <v>3270</v>
      </c>
      <c r="Q20" s="31"/>
      <c r="R20" s="576" t="s">
        <v>157</v>
      </c>
      <c r="S20" s="577"/>
      <c r="T20" s="578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576" t="s">
        <v>158</v>
      </c>
      <c r="S21" s="577"/>
      <c r="T21" s="578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/>
      <c r="G22" s="239"/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0</v>
      </c>
      <c r="P22" s="421">
        <f t="shared" si="0"/>
        <v>0</v>
      </c>
      <c r="Q22" s="31"/>
      <c r="R22" s="576" t="s">
        <v>159</v>
      </c>
      <c r="S22" s="577"/>
      <c r="T22" s="578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576" t="s">
        <v>160</v>
      </c>
      <c r="S23" s="577"/>
      <c r="T23" s="578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/>
      <c r="G24" s="241">
        <v>7</v>
      </c>
      <c r="H24" s="15"/>
      <c r="I24" s="242"/>
      <c r="J24" s="241"/>
      <c r="K24" s="235"/>
      <c r="L24" s="242"/>
      <c r="M24" s="241"/>
      <c r="N24" s="235"/>
      <c r="O24" s="370">
        <f t="shared" si="0"/>
        <v>0</v>
      </c>
      <c r="P24" s="393">
        <f t="shared" si="0"/>
        <v>7</v>
      </c>
      <c r="Q24" s="31"/>
      <c r="R24" s="611" t="s">
        <v>290</v>
      </c>
      <c r="S24" s="612"/>
      <c r="T24" s="613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3270</v>
      </c>
      <c r="G25" s="243">
        <f>+ROUND(+SUM(G15,G16,G18,G19,G20,G21,G22,G23,G24),0)</f>
        <v>3277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3270</v>
      </c>
      <c r="P25" s="372">
        <f>+ROUND(+SUM(P15,P16,P18,P19,P20,P21,P22,P23,P24),0)</f>
        <v>3277</v>
      </c>
      <c r="Q25" s="31"/>
      <c r="R25" s="584" t="s">
        <v>187</v>
      </c>
      <c r="S25" s="585"/>
      <c r="T25" s="586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0" t="s">
        <v>161</v>
      </c>
      <c r="S27" s="591"/>
      <c r="T27" s="592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576" t="s">
        <v>162</v>
      </c>
      <c r="S28" s="577"/>
      <c r="T28" s="578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3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1" t="s">
        <v>163</v>
      </c>
      <c r="S29" s="612"/>
      <c r="T29" s="613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584" t="s">
        <v>188</v>
      </c>
      <c r="S30" s="585"/>
      <c r="T30" s="586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6" t="s">
        <v>264</v>
      </c>
      <c r="C37" s="152"/>
      <c r="D37" s="153"/>
      <c r="E37" s="15"/>
      <c r="F37" s="256">
        <v>-98</v>
      </c>
      <c r="G37" s="255">
        <v>-98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-98</v>
      </c>
      <c r="P37" s="372">
        <f t="shared" si="2"/>
        <v>-98</v>
      </c>
      <c r="Q37" s="31"/>
      <c r="R37" s="584" t="s">
        <v>189</v>
      </c>
      <c r="S37" s="585"/>
      <c r="T37" s="586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17" t="s">
        <v>164</v>
      </c>
      <c r="S38" s="618"/>
      <c r="T38" s="619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-98</v>
      </c>
      <c r="G39" s="259">
        <v>-98</v>
      </c>
      <c r="H39" s="15"/>
      <c r="I39" s="260"/>
      <c r="J39" s="259"/>
      <c r="K39" s="235"/>
      <c r="L39" s="260"/>
      <c r="M39" s="259"/>
      <c r="N39" s="235"/>
      <c r="O39" s="385">
        <f t="shared" si="2"/>
        <v>-98</v>
      </c>
      <c r="P39" s="423">
        <f t="shared" si="2"/>
        <v>-98</v>
      </c>
      <c r="Q39" s="31"/>
      <c r="R39" s="620" t="s">
        <v>165</v>
      </c>
      <c r="S39" s="621"/>
      <c r="T39" s="622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3" t="s">
        <v>166</v>
      </c>
      <c r="S40" s="624"/>
      <c r="T40" s="625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584" t="s">
        <v>190</v>
      </c>
      <c r="S42" s="585"/>
      <c r="T42" s="586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0" t="s">
        <v>167</v>
      </c>
      <c r="S44" s="591"/>
      <c r="T44" s="592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576" t="s">
        <v>168</v>
      </c>
      <c r="S45" s="577"/>
      <c r="T45" s="578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4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576" t="s">
        <v>169</v>
      </c>
      <c r="S46" s="577"/>
      <c r="T46" s="578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1" t="s">
        <v>170</v>
      </c>
      <c r="S47" s="612"/>
      <c r="T47" s="613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584" t="s">
        <v>191</v>
      </c>
      <c r="S48" s="585"/>
      <c r="T48" s="586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3172</v>
      </c>
      <c r="G50" s="265">
        <f>+ROUND(G25+G30+G37+G42+G48,0)</f>
        <v>3179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3172</v>
      </c>
      <c r="P50" s="389">
        <f>+ROUND(P25+P30+P37+P42+P48,0)</f>
        <v>3179</v>
      </c>
      <c r="Q50" s="113"/>
      <c r="R50" s="614" t="s">
        <v>192</v>
      </c>
      <c r="S50" s="615"/>
      <c r="T50" s="61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840647</v>
      </c>
      <c r="G53" s="267">
        <v>1020859</v>
      </c>
      <c r="H53" s="15"/>
      <c r="I53" s="268">
        <v>38960</v>
      </c>
      <c r="J53" s="267"/>
      <c r="K53" s="235"/>
      <c r="L53" s="268"/>
      <c r="M53" s="267"/>
      <c r="N53" s="235"/>
      <c r="O53" s="375">
        <f aca="true" t="shared" si="4" ref="O53:P57">+ROUND(+F53+I53+L53,0)</f>
        <v>879607</v>
      </c>
      <c r="P53" s="368">
        <f t="shared" si="4"/>
        <v>1020859</v>
      </c>
      <c r="Q53" s="31"/>
      <c r="R53" s="590" t="s">
        <v>193</v>
      </c>
      <c r="S53" s="591"/>
      <c r="T53" s="592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33034</v>
      </c>
      <c r="G54" s="241">
        <v>34588</v>
      </c>
      <c r="H54" s="15"/>
      <c r="I54" s="242"/>
      <c r="J54" s="241"/>
      <c r="K54" s="235"/>
      <c r="L54" s="242"/>
      <c r="M54" s="241"/>
      <c r="N54" s="235"/>
      <c r="O54" s="370">
        <f t="shared" si="4"/>
        <v>33034</v>
      </c>
      <c r="P54" s="393">
        <f t="shared" si="4"/>
        <v>34588</v>
      </c>
      <c r="Q54" s="31"/>
      <c r="R54" s="576" t="s">
        <v>171</v>
      </c>
      <c r="S54" s="577"/>
      <c r="T54" s="578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1784</v>
      </c>
      <c r="G55" s="241">
        <v>1864</v>
      </c>
      <c r="H55" s="15"/>
      <c r="I55" s="242"/>
      <c r="J55" s="241"/>
      <c r="K55" s="235"/>
      <c r="L55" s="242"/>
      <c r="M55" s="241"/>
      <c r="N55" s="235"/>
      <c r="O55" s="370">
        <f t="shared" si="4"/>
        <v>1784</v>
      </c>
      <c r="P55" s="393">
        <f t="shared" si="4"/>
        <v>1864</v>
      </c>
      <c r="Q55" s="31"/>
      <c r="R55" s="576" t="s">
        <v>172</v>
      </c>
      <c r="S55" s="577"/>
      <c r="T55" s="578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1747173</v>
      </c>
      <c r="G56" s="241">
        <v>1637375</v>
      </c>
      <c r="H56" s="15"/>
      <c r="I56" s="242">
        <v>55774</v>
      </c>
      <c r="J56" s="241"/>
      <c r="K56" s="235"/>
      <c r="L56" s="242"/>
      <c r="M56" s="241"/>
      <c r="N56" s="235"/>
      <c r="O56" s="370">
        <f t="shared" si="4"/>
        <v>1802947</v>
      </c>
      <c r="P56" s="393">
        <f t="shared" si="4"/>
        <v>1637375</v>
      </c>
      <c r="Q56" s="31"/>
      <c r="R56" s="576" t="s">
        <v>173</v>
      </c>
      <c r="S56" s="577"/>
      <c r="T56" s="578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284096</v>
      </c>
      <c r="G57" s="241">
        <v>257899</v>
      </c>
      <c r="H57" s="15"/>
      <c r="I57" s="242">
        <v>1811</v>
      </c>
      <c r="J57" s="241"/>
      <c r="K57" s="235"/>
      <c r="L57" s="242"/>
      <c r="M57" s="241"/>
      <c r="N57" s="235"/>
      <c r="O57" s="370">
        <f t="shared" si="4"/>
        <v>285907</v>
      </c>
      <c r="P57" s="393">
        <f t="shared" si="4"/>
        <v>257899</v>
      </c>
      <c r="Q57" s="31"/>
      <c r="R57" s="611" t="s">
        <v>174</v>
      </c>
      <c r="S57" s="612"/>
      <c r="T57" s="613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2906734</v>
      </c>
      <c r="G58" s="269">
        <f>+ROUND(+SUM(G53:G57),0)</f>
        <v>2952585</v>
      </c>
      <c r="H58" s="15"/>
      <c r="I58" s="270">
        <f>+ROUND(+SUM(I53:I57),0)</f>
        <v>96545</v>
      </c>
      <c r="J58" s="269">
        <f>+ROUND(+SUM(J53:J57),0)</f>
        <v>0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3003279</v>
      </c>
      <c r="P58" s="391">
        <f>+ROUND(+SUM(P53:P57),0)</f>
        <v>2952585</v>
      </c>
      <c r="Q58" s="31"/>
      <c r="R58" s="584" t="s">
        <v>194</v>
      </c>
      <c r="S58" s="585"/>
      <c r="T58" s="586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90" t="s">
        <v>175</v>
      </c>
      <c r="S60" s="591"/>
      <c r="T60" s="592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15445</v>
      </c>
      <c r="G61" s="241">
        <v>48440</v>
      </c>
      <c r="H61" s="15"/>
      <c r="I61" s="242"/>
      <c r="J61" s="241"/>
      <c r="K61" s="235"/>
      <c r="L61" s="242"/>
      <c r="M61" s="241"/>
      <c r="N61" s="235"/>
      <c r="O61" s="370">
        <f t="shared" si="5"/>
        <v>15445</v>
      </c>
      <c r="P61" s="393">
        <f t="shared" si="5"/>
        <v>48440</v>
      </c>
      <c r="Q61" s="31"/>
      <c r="R61" s="576" t="s">
        <v>176</v>
      </c>
      <c r="S61" s="577"/>
      <c r="T61" s="578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576" t="s">
        <v>177</v>
      </c>
      <c r="S62" s="577"/>
      <c r="T62" s="578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1" t="s">
        <v>195</v>
      </c>
      <c r="S63" s="612"/>
      <c r="T63" s="61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15445</v>
      </c>
      <c r="G65" s="269">
        <f>+ROUND(+SUM(G60:G63),0)</f>
        <v>48440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15445</v>
      </c>
      <c r="P65" s="391">
        <f>+ROUND(+SUM(P60:P63),0)</f>
        <v>48440</v>
      </c>
      <c r="Q65" s="31"/>
      <c r="R65" s="584" t="s">
        <v>197</v>
      </c>
      <c r="S65" s="585"/>
      <c r="T65" s="586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0" t="s">
        <v>178</v>
      </c>
      <c r="S67" s="591"/>
      <c r="T67" s="592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576" t="s">
        <v>179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584" t="s">
        <v>198</v>
      </c>
      <c r="S69" s="585"/>
      <c r="T69" s="586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/>
      <c r="G71" s="267"/>
      <c r="H71" s="15"/>
      <c r="I71" s="268"/>
      <c r="J71" s="267"/>
      <c r="K71" s="235"/>
      <c r="L71" s="268"/>
      <c r="M71" s="267"/>
      <c r="N71" s="235"/>
      <c r="O71" s="375">
        <f>+ROUND(+F71+I71+L71,0)</f>
        <v>0</v>
      </c>
      <c r="P71" s="368">
        <f>+ROUND(+G71+J71+M71,0)</f>
        <v>0</v>
      </c>
      <c r="Q71" s="31"/>
      <c r="R71" s="590" t="s">
        <v>180</v>
      </c>
      <c r="S71" s="591"/>
      <c r="T71" s="592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576" t="s">
        <v>181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0</v>
      </c>
      <c r="G73" s="269">
        <f>+ROUND(+SUM(G71:G72),0)</f>
        <v>0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0</v>
      </c>
      <c r="P73" s="391">
        <f>+ROUND(+SUM(P71:P72),0)</f>
        <v>0</v>
      </c>
      <c r="Q73" s="31"/>
      <c r="R73" s="584" t="s">
        <v>199</v>
      </c>
      <c r="S73" s="585"/>
      <c r="T73" s="586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90" t="s">
        <v>182</v>
      </c>
      <c r="S75" s="591"/>
      <c r="T75" s="592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576" t="s">
        <v>200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584" t="s">
        <v>201</v>
      </c>
      <c r="S77" s="585"/>
      <c r="T77" s="58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5" t="s">
        <v>266</v>
      </c>
      <c r="C79" s="190"/>
      <c r="D79" s="191"/>
      <c r="E79" s="15"/>
      <c r="F79" s="277">
        <f>+ROUND(F58+F65+F69+F73+F77,0)</f>
        <v>2922179</v>
      </c>
      <c r="G79" s="280">
        <f>+ROUND(G58+G65+G69+G73+G77,0)</f>
        <v>3001025</v>
      </c>
      <c r="H79" s="15"/>
      <c r="I79" s="277">
        <f>+ROUND(I58+I65+I69+I73+I77,0)</f>
        <v>96545</v>
      </c>
      <c r="J79" s="280">
        <f>+ROUND(J58+J65+J69+J73+J77,0)</f>
        <v>0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3018724</v>
      </c>
      <c r="P79" s="401">
        <f>+ROUND(P58+P65+P69+P73+P77,0)</f>
        <v>3001025</v>
      </c>
      <c r="Q79" s="31"/>
      <c r="R79" s="587" t="s">
        <v>202</v>
      </c>
      <c r="S79" s="588"/>
      <c r="T79" s="58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2919060</v>
      </c>
      <c r="G81" s="237">
        <v>2997985</v>
      </c>
      <c r="H81" s="15"/>
      <c r="I81" s="238">
        <v>96545</v>
      </c>
      <c r="J81" s="237"/>
      <c r="K81" s="235"/>
      <c r="L81" s="238"/>
      <c r="M81" s="237"/>
      <c r="N81" s="235"/>
      <c r="O81" s="374">
        <f>+ROUND(+F81+I81+L81,0)</f>
        <v>3015605</v>
      </c>
      <c r="P81" s="387">
        <f>+ROUND(+G81+J81+M81,0)</f>
        <v>2997985</v>
      </c>
      <c r="Q81" s="31"/>
      <c r="R81" s="590" t="s">
        <v>183</v>
      </c>
      <c r="S81" s="591"/>
      <c r="T81" s="592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576" t="s">
        <v>184</v>
      </c>
      <c r="S82" s="577"/>
      <c r="T82" s="578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2919060</v>
      </c>
      <c r="G83" s="278">
        <f>+ROUND(G81+G82,0)</f>
        <v>2997985</v>
      </c>
      <c r="H83" s="15"/>
      <c r="I83" s="279">
        <f>+ROUND(I81+I82,0)</f>
        <v>96545</v>
      </c>
      <c r="J83" s="278">
        <f>+ROUND(J81+J82,0)</f>
        <v>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3015605</v>
      </c>
      <c r="P83" s="396">
        <f>+ROUND(P81+P82,0)</f>
        <v>2997985</v>
      </c>
      <c r="Q83" s="31"/>
      <c r="R83" s="602" t="s">
        <v>203</v>
      </c>
      <c r="S83" s="603"/>
      <c r="T83" s="604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66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6"/>
      <c r="D84" s="667"/>
      <c r="E84" s="15"/>
      <c r="F84" s="479">
        <f>+ROUND(F85,0)+ROUND(F86,0)</f>
        <v>0</v>
      </c>
      <c r="G84" s="480">
        <f>+ROUND(G85,0)+ROUND(G86,0)</f>
        <v>0</v>
      </c>
      <c r="H84" s="136"/>
      <c r="I84" s="479">
        <f>+ROUND(I85,0)+ROUND(I86,0)</f>
        <v>0</v>
      </c>
      <c r="J84" s="480">
        <f>+ROUND(J85,0)+ROUND(J86,0)</f>
        <v>0</v>
      </c>
      <c r="K84" s="485"/>
      <c r="L84" s="479">
        <f>+ROUND(L85,0)+ROUND(L86,0)</f>
        <v>0</v>
      </c>
      <c r="M84" s="480">
        <f>+ROUND(M85,0)+ROUND(M86,0)</f>
        <v>0</v>
      </c>
      <c r="N84" s="485"/>
      <c r="O84" s="488">
        <f>+ROUND(O85,0)+ROUND(O86,0)</f>
        <v>0</v>
      </c>
      <c r="P84" s="489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53</v>
      </c>
      <c r="G85" s="299">
        <f>+ROUND(G50,0)-ROUND(G79,0)+ROUND(G83,0)</f>
        <v>139</v>
      </c>
      <c r="H85" s="15"/>
      <c r="I85" s="300">
        <f>+ROUND(I50,0)-ROUND(I79,0)+ROUND(I83,0)</f>
        <v>0</v>
      </c>
      <c r="J85" s="299">
        <f>+ROUND(J50,0)-ROUND(J79,0)+ROUND(J83,0)</f>
        <v>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53</v>
      </c>
      <c r="P85" s="398">
        <f>+ROUND(P50,0)-ROUND(P79,0)+ROUND(P83,0)</f>
        <v>139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-53</v>
      </c>
      <c r="G86" s="301">
        <f>+ROUND(G103,0)+ROUND(G122,0)+ROUND(G129,0)-ROUND(G134,0)</f>
        <v>-139</v>
      </c>
      <c r="H86" s="15"/>
      <c r="I86" s="302">
        <f>+ROUND(I103,0)+ROUND(I122,0)+ROUND(I129,0)-ROUND(I134,0)</f>
        <v>0</v>
      </c>
      <c r="J86" s="301">
        <f>+ROUND(J103,0)+ROUND(J122,0)+ROUND(J129,0)-ROUND(J134,0)</f>
        <v>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-53</v>
      </c>
      <c r="P86" s="400">
        <f>+ROUND(P103,0)+ROUND(P122,0)+ROUND(P129,0)-ROUND(P134,0)</f>
        <v>-139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0" t="s">
        <v>204</v>
      </c>
      <c r="S89" s="591"/>
      <c r="T89" s="592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576" t="s">
        <v>205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6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584" t="s">
        <v>206</v>
      </c>
      <c r="S91" s="585"/>
      <c r="T91" s="586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0" t="s">
        <v>207</v>
      </c>
      <c r="S93" s="591"/>
      <c r="T93" s="592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4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576" t="s">
        <v>208</v>
      </c>
      <c r="S94" s="577"/>
      <c r="T94" s="578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576" t="s">
        <v>209</v>
      </c>
      <c r="S95" s="577"/>
      <c r="T95" s="578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1" t="s">
        <v>210</v>
      </c>
      <c r="S96" s="612"/>
      <c r="T96" s="613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6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584" t="s">
        <v>211</v>
      </c>
      <c r="S97" s="585"/>
      <c r="T97" s="586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0" t="s">
        <v>212</v>
      </c>
      <c r="S99" s="591"/>
      <c r="T99" s="592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576" t="s">
        <v>213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584" t="s">
        <v>214</v>
      </c>
      <c r="S101" s="585"/>
      <c r="T101" s="586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0</v>
      </c>
      <c r="P103" s="389">
        <f>+ROUND(P91+P97+P101,0)</f>
        <v>0</v>
      </c>
      <c r="Q103" s="113"/>
      <c r="R103" s="614" t="s">
        <v>215</v>
      </c>
      <c r="S103" s="615"/>
      <c r="T103" s="616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0" t="s">
        <v>216</v>
      </c>
      <c r="S106" s="591"/>
      <c r="T106" s="592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576" t="s">
        <v>217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584" t="s">
        <v>218</v>
      </c>
      <c r="S108" s="585"/>
      <c r="T108" s="586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596" t="s">
        <v>219</v>
      </c>
      <c r="S110" s="597"/>
      <c r="T110" s="598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599" t="s">
        <v>220</v>
      </c>
      <c r="S111" s="600"/>
      <c r="T111" s="601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584" t="s">
        <v>221</v>
      </c>
      <c r="S112" s="585"/>
      <c r="T112" s="586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0" t="s">
        <v>222</v>
      </c>
      <c r="S114" s="591"/>
      <c r="T114" s="592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576" t="s">
        <v>223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584" t="s">
        <v>224</v>
      </c>
      <c r="S116" s="585"/>
      <c r="T116" s="586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/>
      <c r="M118" s="267"/>
      <c r="N118" s="235"/>
      <c r="O118" s="375">
        <f>+ROUND(+F118+I118+L118,0)</f>
        <v>0</v>
      </c>
      <c r="P118" s="368">
        <f>+ROUND(+G118+J118+M118,0)</f>
        <v>0</v>
      </c>
      <c r="Q118" s="31"/>
      <c r="R118" s="590" t="s">
        <v>225</v>
      </c>
      <c r="S118" s="591"/>
      <c r="T118" s="592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576" t="s">
        <v>226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0</v>
      </c>
      <c r="P120" s="391">
        <f>+ROUND(+SUM(P118:P119),0)</f>
        <v>0</v>
      </c>
      <c r="Q120" s="31"/>
      <c r="R120" s="584" t="s">
        <v>227</v>
      </c>
      <c r="S120" s="585"/>
      <c r="T120" s="58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0</v>
      </c>
      <c r="P122" s="401">
        <f>+ROUND(P108+P112+P116+P120,0)</f>
        <v>0</v>
      </c>
      <c r="Q122" s="31"/>
      <c r="R122" s="587" t="s">
        <v>228</v>
      </c>
      <c r="S122" s="588"/>
      <c r="T122" s="58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0" t="s">
        <v>229</v>
      </c>
      <c r="S124" s="591"/>
      <c r="T124" s="592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/>
      <c r="G125" s="241"/>
      <c r="H125" s="15"/>
      <c r="I125" s="242"/>
      <c r="J125" s="241"/>
      <c r="K125" s="235"/>
      <c r="L125" s="242"/>
      <c r="M125" s="241"/>
      <c r="N125" s="235"/>
      <c r="O125" s="370">
        <f t="shared" si="7"/>
        <v>0</v>
      </c>
      <c r="P125" s="393">
        <f t="shared" si="7"/>
        <v>0</v>
      </c>
      <c r="Q125" s="31"/>
      <c r="R125" s="576" t="s">
        <v>230</v>
      </c>
      <c r="S125" s="577"/>
      <c r="T125" s="578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605" t="s">
        <v>298</v>
      </c>
      <c r="S126" s="606"/>
      <c r="T126" s="607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6" t="s">
        <v>291</v>
      </c>
      <c r="C127" s="514"/>
      <c r="D127" s="515"/>
      <c r="E127" s="15"/>
      <c r="F127" s="525"/>
      <c r="G127" s="526"/>
      <c r="H127" s="15"/>
      <c r="I127" s="523"/>
      <c r="J127" s="524"/>
      <c r="K127" s="235"/>
      <c r="L127" s="523"/>
      <c r="M127" s="524"/>
      <c r="N127" s="235"/>
      <c r="O127" s="521"/>
      <c r="P127" s="522"/>
      <c r="Q127" s="31"/>
      <c r="R127" s="573" t="s">
        <v>292</v>
      </c>
      <c r="S127" s="574"/>
      <c r="T127" s="575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7"/>
      <c r="G128" s="518"/>
      <c r="H128" s="15"/>
      <c r="I128" s="517"/>
      <c r="J128" s="518"/>
      <c r="K128" s="235"/>
      <c r="L128" s="517"/>
      <c r="M128" s="518"/>
      <c r="N128" s="235"/>
      <c r="O128" s="519">
        <f t="shared" si="7"/>
        <v>0</v>
      </c>
      <c r="P128" s="520">
        <f t="shared" si="7"/>
        <v>0</v>
      </c>
      <c r="Q128" s="31"/>
      <c r="R128" s="608" t="s">
        <v>231</v>
      </c>
      <c r="S128" s="609"/>
      <c r="T128" s="610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0</v>
      </c>
      <c r="G129" s="278">
        <f>+ROUND(+SUM(G124,G125,G126,G128),0)</f>
        <v>0</v>
      </c>
      <c r="H129" s="15"/>
      <c r="I129" s="279">
        <f>+ROUND(+SUM(I124,I125,I126,I128),0)</f>
        <v>0</v>
      </c>
      <c r="J129" s="278">
        <f>+ROUND(+SUM(J124,J125,J126,J128),0)</f>
        <v>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602" t="s">
        <v>232</v>
      </c>
      <c r="S129" s="603"/>
      <c r="T129" s="604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/>
      <c r="G131" s="237"/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0</v>
      </c>
      <c r="P131" s="387">
        <f t="shared" si="8"/>
        <v>0</v>
      </c>
      <c r="Q131" s="31"/>
      <c r="R131" s="590" t="s">
        <v>233</v>
      </c>
      <c r="S131" s="591"/>
      <c r="T131" s="592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4" t="s">
        <v>118</v>
      </c>
      <c r="C132" s="159"/>
      <c r="D132" s="160"/>
      <c r="E132" s="15"/>
      <c r="F132" s="242">
        <v>-53</v>
      </c>
      <c r="G132" s="241">
        <v>-139</v>
      </c>
      <c r="H132" s="15"/>
      <c r="I132" s="242"/>
      <c r="J132" s="241"/>
      <c r="K132" s="235"/>
      <c r="L132" s="242"/>
      <c r="M132" s="241"/>
      <c r="N132" s="235"/>
      <c r="O132" s="370">
        <f t="shared" si="8"/>
        <v>-53</v>
      </c>
      <c r="P132" s="393">
        <f t="shared" si="8"/>
        <v>-139</v>
      </c>
      <c r="Q132" s="31"/>
      <c r="R132" s="576" t="s">
        <v>234</v>
      </c>
      <c r="S132" s="577"/>
      <c r="T132" s="578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/>
      <c r="G133" s="241"/>
      <c r="H133" s="15"/>
      <c r="I133" s="242"/>
      <c r="J133" s="241"/>
      <c r="K133" s="235"/>
      <c r="L133" s="242"/>
      <c r="M133" s="241"/>
      <c r="N133" s="235"/>
      <c r="O133" s="370">
        <f t="shared" si="8"/>
        <v>0</v>
      </c>
      <c r="P133" s="393">
        <f t="shared" si="8"/>
        <v>0</v>
      </c>
      <c r="Q133" s="31"/>
      <c r="R133" s="593" t="s">
        <v>235</v>
      </c>
      <c r="S133" s="594"/>
      <c r="T133" s="59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53</v>
      </c>
      <c r="G134" s="283">
        <f>+ROUND(+G133-G131-G132,0)</f>
        <v>139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53</v>
      </c>
      <c r="P134" s="404">
        <f>+ROUND(+P133-P131-P132,0)</f>
        <v>139</v>
      </c>
      <c r="Q134" s="31"/>
      <c r="R134" s="581" t="s">
        <v>236</v>
      </c>
      <c r="S134" s="582"/>
      <c r="T134" s="58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6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8"/>
      <c r="D135" s="668"/>
      <c r="E135" s="15"/>
      <c r="F135" s="484">
        <f>+ROUND(F85,0)+ROUND(F86,0)</f>
        <v>0</v>
      </c>
      <c r="G135" s="487">
        <f>+ROUND(G85,0)+ROUND(G86,0)</f>
        <v>0</v>
      </c>
      <c r="H135" s="136"/>
      <c r="I135" s="484">
        <f>+ROUND(I85,0)+ROUND(I86,0)</f>
        <v>0</v>
      </c>
      <c r="J135" s="487">
        <f>+ROUND(J85,0)+ROUND(J86,0)</f>
        <v>0</v>
      </c>
      <c r="K135" s="485"/>
      <c r="L135" s="484">
        <f>+ROUND(L85,0)+ROUND(L86,0)</f>
        <v>0</v>
      </c>
      <c r="M135" s="487">
        <f>+ROUND(M85,0)+ROUND(M86,0)</f>
        <v>0</v>
      </c>
      <c r="N135" s="485"/>
      <c r="O135" s="486">
        <f>+ROUND(O85,0)+ROUND(O86,0)</f>
        <v>0</v>
      </c>
      <c r="P135" s="487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7">
        <f>+IF(F138&lt;&gt;0,"ГРЕШКА - ред 127",0)</f>
        <v>0</v>
      </c>
      <c r="G137" s="527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7">
        <f>+IF(AND($M$1&lt;&gt;9900,F127&lt;&gt;0),F127,0)</f>
        <v>0</v>
      </c>
      <c r="G138" s="527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/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658"/>
      <c r="G143" s="659"/>
      <c r="H143" s="659"/>
      <c r="I143" s="660"/>
      <c r="J143" s="354"/>
      <c r="K143" s="16"/>
      <c r="L143" s="354" t="s">
        <v>240</v>
      </c>
      <c r="M143" s="658"/>
      <c r="N143" s="659"/>
      <c r="O143" s="659"/>
      <c r="P143" s="660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1" t="s">
        <v>282</v>
      </c>
      <c r="C145" s="492"/>
      <c r="D145" s="493"/>
      <c r="F145" s="502" t="str">
        <f>+IF(+ROUND(F148,0)=0,"O K","НЕРАВНЕНИЕ!")</f>
        <v>O K</v>
      </c>
      <c r="G145" s="503" t="str">
        <f>+IF(+ROUND(G148,0)=0,"O K","НЕРАВНЕНИЕ!")</f>
        <v>O K</v>
      </c>
      <c r="I145" s="498" t="str">
        <f>+IF(+ROUND(I148,0)=0,"O K","НЕРАВНЕНИЕ!")</f>
        <v>O K</v>
      </c>
      <c r="J145" s="499" t="str">
        <f>+IF(+ROUND(J148,0)=0,"O K","НЕРАВНЕНИЕ!")</f>
        <v>O K</v>
      </c>
      <c r="K145" s="105"/>
      <c r="L145" s="494" t="str">
        <f>+IF(+ROUND(L148,0)=0,"O K","НЕРАВНЕНИЕ!")</f>
        <v>O K</v>
      </c>
      <c r="M145" s="495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1" t="s">
        <v>283</v>
      </c>
      <c r="C146" s="492"/>
      <c r="D146" s="493"/>
      <c r="F146" s="502" t="str">
        <f>+IF(+ROUND(F149,0)=0,"O K","НЕРАВНЕНИЕ!")</f>
        <v>O K</v>
      </c>
      <c r="G146" s="503" t="str">
        <f>+IF(+ROUND(G149,0)=0,"O K","НЕРАВНЕНИЕ!")</f>
        <v>O K</v>
      </c>
      <c r="I146" s="498" t="str">
        <f>+IF(+ROUND(I149,0)=0,"O K","НЕРАВНЕНИЕ!")</f>
        <v>O K</v>
      </c>
      <c r="J146" s="499" t="str">
        <f>+IF(+ROUND(J149,0)=0,"O K","НЕРАВНЕНИЕ!")</f>
        <v>O K</v>
      </c>
      <c r="K146" s="105"/>
      <c r="L146" s="494" t="str">
        <f>+IF(+ROUND(L149,0)=0,"O K","НЕРАВНЕНИЕ!")</f>
        <v>O K</v>
      </c>
      <c r="M146" s="495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1" t="s">
        <v>284</v>
      </c>
      <c r="C148" s="492"/>
      <c r="D148" s="493"/>
      <c r="F148" s="504">
        <f>+ROUND(F85,0)+ROUND(F86,0)</f>
        <v>0</v>
      </c>
      <c r="G148" s="505">
        <f>+ROUND(G85,0)+ROUND(G86,0)</f>
        <v>0</v>
      </c>
      <c r="I148" s="500">
        <f>+ROUND(I85,0)+ROUND(I86,0)</f>
        <v>0</v>
      </c>
      <c r="J148" s="501">
        <f>+ROUND(J85,0)+ROUND(J86,0)</f>
        <v>0</v>
      </c>
      <c r="K148" s="105"/>
      <c r="L148" s="496">
        <f>+ROUND(L85,0)+ROUND(L86,0)</f>
        <v>0</v>
      </c>
      <c r="M148" s="497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1" t="s">
        <v>285</v>
      </c>
      <c r="C149" s="492"/>
      <c r="D149" s="493"/>
      <c r="F149" s="504">
        <f>SUM(+ROUND(F85,0)+ROUND(F103,0)+ROUND(F122,0)+ROUND(F129,0)+ROUND(F131,0)+ROUND(F132,0))-ROUND(F133,0)</f>
        <v>0</v>
      </c>
      <c r="G149" s="505">
        <f>SUM(+ROUND(G85,0)+ROUND(G103,0)+ROUND(G122,0)+ROUND(G129,0)+ROUND(G131,0)+ROUND(G132,0))-ROUND(G133,0)</f>
        <v>0</v>
      </c>
      <c r="I149" s="500">
        <f>SUM(+ROUND(I85,0)+ROUND(I103,0)+ROUND(I122,0)+ROUND(I129,0)+ROUND(I131,0)+ROUND(I132,0))-ROUND(I133,0)</f>
        <v>0</v>
      </c>
      <c r="J149" s="501">
        <f>SUM(+ROUND(J85,0)+ROUND(J103,0)+ROUND(J122,0)+ROUND(J129,0)+ROUND(J131,0)+ROUND(J132,0))-ROUND(J133,0)</f>
        <v>0</v>
      </c>
      <c r="K149" s="105"/>
      <c r="L149" s="496">
        <f>SUM(+ROUND(L85,0)+ROUND(L103,0)+ROUND(L122,0)+ROUND(L129,0)+ROUND(L131,0)+ROUND(L132,0))-ROUND(L133,0)</f>
        <v>0</v>
      </c>
      <c r="M149" s="497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" sqref="O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78" t="str">
        <f>+'Cash-Flow-2019-Leva'!B1:F1</f>
        <v>ОМБУДСМАН НА РЕПУБЛИКА БЪЛГАРИЯ</v>
      </c>
      <c r="C1" s="679"/>
      <c r="D1" s="679"/>
      <c r="E1" s="679"/>
      <c r="F1" s="680"/>
      <c r="G1" s="447" t="s">
        <v>252</v>
      </c>
      <c r="H1" s="128"/>
      <c r="I1" s="681">
        <f>+'Cash-Flow-2019-Leva'!I1:J1</f>
        <v>131436477</v>
      </c>
      <c r="J1" s="682"/>
      <c r="K1" s="448"/>
      <c r="L1" s="449" t="s">
        <v>253</v>
      </c>
      <c r="M1" s="450">
        <f>+'Cash-Flow-2019-Leva'!M1</f>
        <v>4000</v>
      </c>
      <c r="N1" s="448"/>
      <c r="O1" s="449" t="s">
        <v>245</v>
      </c>
      <c r="P1" s="461">
        <f>+'Cash-Flow-2019-Leva'!P1</f>
        <v>0</v>
      </c>
      <c r="Q1" s="453"/>
      <c r="R1" s="457" t="s">
        <v>239</v>
      </c>
      <c r="S1" s="683">
        <f>+'Cash-Flow-2019-Leva'!$S$1</f>
        <v>0</v>
      </c>
      <c r="T1" s="684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85" t="s">
        <v>257</v>
      </c>
      <c r="C2" s="686"/>
      <c r="D2" s="686"/>
      <c r="E2" s="686"/>
      <c r="F2" s="687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88" t="str">
        <f>+'Cash-Flow-2019-Leva'!B3:F3</f>
        <v>[Седалище и адрес]</v>
      </c>
      <c r="C3" s="689"/>
      <c r="D3" s="689"/>
      <c r="E3" s="689"/>
      <c r="F3" s="690"/>
      <c r="G3" s="454" t="s">
        <v>244</v>
      </c>
      <c r="H3" s="691">
        <f>+'Cash-Flow-2019-Leva'!H3</f>
        <v>0</v>
      </c>
      <c r="I3" s="692"/>
      <c r="J3" s="692"/>
      <c r="K3" s="693"/>
      <c r="L3" s="51" t="s">
        <v>254</v>
      </c>
      <c r="M3" s="694" t="str">
        <f>+'Cash-Flow-2019-Leva'!M3:P3</f>
        <v>k.evtimova@ombudsman.bg</v>
      </c>
      <c r="N3" s="695"/>
      <c r="O3" s="695"/>
      <c r="P3" s="696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70" t="s">
        <v>251</v>
      </c>
      <c r="E5" s="670"/>
      <c r="F5" s="670"/>
      <c r="G5" s="670"/>
      <c r="H5" s="670"/>
      <c r="I5" s="670"/>
      <c r="J5" s="670"/>
      <c r="K5" s="670"/>
      <c r="L5" s="670"/>
      <c r="M5" s="39"/>
      <c r="N5" s="39"/>
      <c r="O5" s="53" t="s">
        <v>17</v>
      </c>
      <c r="P5" s="459">
        <f>+'Cash-Flow-2019-Leva'!P5</f>
        <v>2019</v>
      </c>
      <c r="Q5" s="39"/>
      <c r="R5" s="669" t="s">
        <v>185</v>
      </c>
      <c r="S5" s="669"/>
      <c r="T5" s="669"/>
      <c r="U5" s="6"/>
    </row>
    <row r="6" spans="1:28" s="3" customFormat="1" ht="17.25" customHeight="1">
      <c r="A6" s="6"/>
      <c r="B6" s="52" t="s">
        <v>249</v>
      </c>
      <c r="C6" s="52"/>
      <c r="D6" s="670" t="s">
        <v>250</v>
      </c>
      <c r="E6" s="670"/>
      <c r="F6" s="670"/>
      <c r="G6" s="670"/>
      <c r="H6" s="670"/>
      <c r="I6" s="670"/>
      <c r="J6" s="670"/>
      <c r="K6" s="670"/>
      <c r="L6" s="670"/>
      <c r="M6" s="42"/>
      <c r="N6" s="5"/>
      <c r="O6" s="6"/>
      <c r="P6" s="6"/>
      <c r="Q6" s="1"/>
      <c r="R6" s="671">
        <f>+P4</f>
        <v>0</v>
      </c>
      <c r="S6" s="671"/>
      <c r="T6" s="67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72" t="str">
        <f>+B1</f>
        <v>ОМБУДСМАН НА РЕПУБЛИКА БЪЛГАРИЯ</v>
      </c>
      <c r="E8" s="672"/>
      <c r="F8" s="672"/>
      <c r="G8" s="672"/>
      <c r="H8" s="672"/>
      <c r="I8" s="672"/>
      <c r="J8" s="672"/>
      <c r="K8" s="672"/>
      <c r="L8" s="672"/>
      <c r="M8" s="455" t="s">
        <v>255</v>
      </c>
      <c r="N8" s="5"/>
      <c r="O8" s="458" t="str">
        <f>+'Cash-Flow-2019-Leva'!O8</f>
        <v>31.12.2019 г.</v>
      </c>
      <c r="P8" s="456" t="s">
        <v>8</v>
      </c>
      <c r="Q8" s="1"/>
      <c r="R8" s="673">
        <f>+P5</f>
        <v>2019</v>
      </c>
      <c r="S8" s="674"/>
      <c r="T8" s="67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4"/>
      <c r="O10" s="477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31.12.2019 г.</v>
      </c>
      <c r="G11" s="405" t="str">
        <f>+'Cash-Flow-2019-Leva'!G11</f>
        <v>31.12.2018 г.</v>
      </c>
      <c r="H11" s="5"/>
      <c r="I11" s="109" t="str">
        <f>+O8</f>
        <v>31.12.2019 г.</v>
      </c>
      <c r="J11" s="406" t="str">
        <f>+'Cash-Flow-2019-Leva'!J11</f>
        <v>31.12.2018 г.</v>
      </c>
      <c r="K11" s="5"/>
      <c r="L11" s="107" t="str">
        <f>+O8</f>
        <v>31.12.2019 г.</v>
      </c>
      <c r="M11" s="407" t="str">
        <f>+'Cash-Flow-2019-Leva'!M11</f>
        <v>31.12.2018 г.</v>
      </c>
      <c r="N11" s="474"/>
      <c r="O11" s="362" t="str">
        <f>+O8</f>
        <v>31.12.2019 г.</v>
      </c>
      <c r="P11" s="408" t="str">
        <f>+'Cash-Flow-2019-Leva'!P11</f>
        <v>31.12.2018 г.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8" t="s">
        <v>133</v>
      </c>
      <c r="C12" s="469"/>
      <c r="D12" s="470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4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5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5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0</v>
      </c>
      <c r="G15" s="263">
        <f>+'Cash-Flow-2019-Leva'!G15/1000</f>
        <v>0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5"/>
      <c r="O15" s="374">
        <f aca="true" t="shared" si="0" ref="O15:O24">+F15+I15+L15</f>
        <v>0</v>
      </c>
      <c r="P15" s="387">
        <f aca="true" t="shared" si="1" ref="P15:P24">+G15+J15+M15</f>
        <v>0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5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4"/>
      <c r="D17" s="515"/>
      <c r="E17" s="285"/>
      <c r="F17" s="523">
        <f>+'Cash-Flow-2019-Leva'!F17/1000</f>
        <v>0</v>
      </c>
      <c r="G17" s="524">
        <f>+'Cash-Flow-2019-Leva'!G17/1000</f>
        <v>0</v>
      </c>
      <c r="H17" s="285"/>
      <c r="I17" s="523">
        <f>+'Cash-Flow-2019-Leva'!I17/1000</f>
        <v>0</v>
      </c>
      <c r="J17" s="524">
        <f>+'Cash-Flow-2019-Leva'!J17/1000</f>
        <v>0</v>
      </c>
      <c r="K17" s="285"/>
      <c r="L17" s="523">
        <f>+'Cash-Flow-2019-Leva'!L17/1000</f>
        <v>0</v>
      </c>
      <c r="M17" s="524">
        <f>+'Cash-Flow-2019-Leva'!M17/1000</f>
        <v>0</v>
      </c>
      <c r="N17" s="475"/>
      <c r="O17" s="521">
        <f>+F17+I17+L17</f>
        <v>0</v>
      </c>
      <c r="P17" s="522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0</v>
      </c>
      <c r="G18" s="263">
        <f>+'Cash-Flow-2019-Leva'!G18/1000</f>
        <v>0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5"/>
      <c r="O18" s="374">
        <f t="shared" si="0"/>
        <v>0</v>
      </c>
      <c r="P18" s="387">
        <f t="shared" si="1"/>
        <v>0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5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3.27</v>
      </c>
      <c r="G20" s="286">
        <f>+'Cash-Flow-2019-Leva'!G20/1000</f>
        <v>3.27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5"/>
      <c r="O20" s="369">
        <f t="shared" si="0"/>
        <v>3.27</v>
      </c>
      <c r="P20" s="421">
        <f t="shared" si="1"/>
        <v>3.27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5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</v>
      </c>
      <c r="G22" s="286">
        <f>+'Cash-Flow-2019-Leva'!G22/1000</f>
        <v>0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5"/>
      <c r="O22" s="369">
        <f t="shared" si="0"/>
        <v>0</v>
      </c>
      <c r="P22" s="421">
        <f t="shared" si="1"/>
        <v>0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5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0</v>
      </c>
      <c r="G24" s="275">
        <f>+'Cash-Flow-2019-Leva'!G24/1000</f>
        <v>0.007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5"/>
      <c r="O24" s="370">
        <f t="shared" si="0"/>
        <v>0</v>
      </c>
      <c r="P24" s="393">
        <f t="shared" si="1"/>
        <v>0.007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3.27</v>
      </c>
      <c r="G25" s="243">
        <f>+SUM(G15,G16,G18,G19,G20,G21,G22,G23,G24)</f>
        <v>3.277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5"/>
      <c r="O25" s="371">
        <f>+SUM(O15,O16,O18,O19,O20,O21,O22,O23,O24)</f>
        <v>3.27</v>
      </c>
      <c r="P25" s="372">
        <f>+SUM(P15,P16,P18,P19,P20,P21,P22,P23,P24)</f>
        <v>3.277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5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5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5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3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5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5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5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5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5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5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5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5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6" t="s">
        <v>264</v>
      </c>
      <c r="C37" s="152"/>
      <c r="D37" s="153"/>
      <c r="E37" s="285"/>
      <c r="F37" s="244">
        <f>+'Cash-Flow-2019-Leva'!F37/1000</f>
        <v>-0.098</v>
      </c>
      <c r="G37" s="243">
        <f>+'Cash-Flow-2019-Leva'!G37/1000</f>
        <v>-0.098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5"/>
      <c r="O37" s="371">
        <f aca="true" t="shared" si="3" ref="O37:P40">+F37+I37+L37</f>
        <v>-0.098</v>
      </c>
      <c r="P37" s="372">
        <f t="shared" si="3"/>
        <v>-0.098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5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-0.098</v>
      </c>
      <c r="G39" s="290">
        <f>+'Cash-Flow-2019-Leva'!G39/1000</f>
        <v>-0.098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5"/>
      <c r="O39" s="385">
        <f t="shared" si="3"/>
        <v>-0.098</v>
      </c>
      <c r="P39" s="423">
        <f t="shared" si="3"/>
        <v>-0.098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5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5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5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5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5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5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4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5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5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5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6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3.172</v>
      </c>
      <c r="G50" s="265">
        <f>+G25+G30+G37+G42+G48</f>
        <v>3.1790000000000003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</v>
      </c>
      <c r="M50" s="265">
        <f>+M25+M30+M37+M42+M48</f>
        <v>0</v>
      </c>
      <c r="N50" s="475"/>
      <c r="O50" s="388">
        <f>+O25+O30+O37+O42+O48</f>
        <v>3.172</v>
      </c>
      <c r="P50" s="389">
        <f>+P25+P30+P37+P42+P48</f>
        <v>3.1790000000000003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5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5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840.647</v>
      </c>
      <c r="G53" s="236">
        <f>+'Cash-Flow-2019-Leva'!G53/1000</f>
        <v>1020.859</v>
      </c>
      <c r="H53" s="285"/>
      <c r="I53" s="246">
        <f>+'Cash-Flow-2019-Leva'!I53/1000</f>
        <v>38.96</v>
      </c>
      <c r="J53" s="236">
        <f>+'Cash-Flow-2019-Leva'!J53/1000</f>
        <v>0</v>
      </c>
      <c r="K53" s="285"/>
      <c r="L53" s="246">
        <f>+'Cash-Flow-2019-Leva'!L53/1000</f>
        <v>0</v>
      </c>
      <c r="M53" s="236">
        <f>+'Cash-Flow-2019-Leva'!M53/1000</f>
        <v>0</v>
      </c>
      <c r="N53" s="475"/>
      <c r="O53" s="374">
        <f aca="true" t="shared" si="5" ref="O53:P57">+F53+I53+L53</f>
        <v>879.6070000000001</v>
      </c>
      <c r="P53" s="368">
        <f t="shared" si="5"/>
        <v>1020.859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33.034</v>
      </c>
      <c r="G54" s="275">
        <f>+'Cash-Flow-2019-Leva'!G54/1000</f>
        <v>34.588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5"/>
      <c r="O54" s="370">
        <f t="shared" si="5"/>
        <v>33.034</v>
      </c>
      <c r="P54" s="393">
        <f t="shared" si="5"/>
        <v>34.588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1.784</v>
      </c>
      <c r="G55" s="275">
        <f>+'Cash-Flow-2019-Leva'!G55/1000</f>
        <v>1.864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5"/>
      <c r="O55" s="370">
        <f t="shared" si="5"/>
        <v>1.784</v>
      </c>
      <c r="P55" s="393">
        <f t="shared" si="5"/>
        <v>1.864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1747.173</v>
      </c>
      <c r="G56" s="275">
        <f>+'Cash-Flow-2019-Leva'!G56/1000</f>
        <v>1637.375</v>
      </c>
      <c r="H56" s="285"/>
      <c r="I56" s="276">
        <f>+'Cash-Flow-2019-Leva'!I56/1000</f>
        <v>55.774</v>
      </c>
      <c r="J56" s="275">
        <f>+'Cash-Flow-2019-Leva'!J56/1000</f>
        <v>0</v>
      </c>
      <c r="K56" s="285"/>
      <c r="L56" s="276">
        <f>+'Cash-Flow-2019-Leva'!L56/1000</f>
        <v>0</v>
      </c>
      <c r="M56" s="275">
        <f>+'Cash-Flow-2019-Leva'!M56/1000</f>
        <v>0</v>
      </c>
      <c r="N56" s="475"/>
      <c r="O56" s="370">
        <f t="shared" si="5"/>
        <v>1802.9470000000001</v>
      </c>
      <c r="P56" s="393">
        <f t="shared" si="5"/>
        <v>1637.375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284.096</v>
      </c>
      <c r="G57" s="275">
        <f>+'Cash-Flow-2019-Leva'!G57/1000</f>
        <v>257.899</v>
      </c>
      <c r="H57" s="285"/>
      <c r="I57" s="276">
        <f>+'Cash-Flow-2019-Leva'!I57/1000</f>
        <v>1.811</v>
      </c>
      <c r="J57" s="275">
        <f>+'Cash-Flow-2019-Leva'!J57/1000</f>
        <v>0</v>
      </c>
      <c r="K57" s="285"/>
      <c r="L57" s="276">
        <f>+'Cash-Flow-2019-Leva'!L57/1000</f>
        <v>0</v>
      </c>
      <c r="M57" s="275">
        <f>+'Cash-Flow-2019-Leva'!M57/1000</f>
        <v>0</v>
      </c>
      <c r="N57" s="475"/>
      <c r="O57" s="370">
        <f t="shared" si="5"/>
        <v>285.907</v>
      </c>
      <c r="P57" s="393">
        <f t="shared" si="5"/>
        <v>257.899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2906.734</v>
      </c>
      <c r="G58" s="269">
        <f>+SUM(G53:G57)</f>
        <v>2952.585</v>
      </c>
      <c r="H58" s="285"/>
      <c r="I58" s="270">
        <f>+SUM(I53:I57)</f>
        <v>96.54500000000002</v>
      </c>
      <c r="J58" s="269">
        <f>+SUM(J53:J57)</f>
        <v>0</v>
      </c>
      <c r="K58" s="285"/>
      <c r="L58" s="270">
        <f>+SUM(L53:L57)</f>
        <v>0</v>
      </c>
      <c r="M58" s="269">
        <f>+SUM(M53:M57)</f>
        <v>0</v>
      </c>
      <c r="N58" s="475"/>
      <c r="O58" s="390">
        <f>+SUM(O53:O57)</f>
        <v>3003.2790000000005</v>
      </c>
      <c r="P58" s="391">
        <f>+SUM(P53:P57)</f>
        <v>2952.585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5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5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15.445</v>
      </c>
      <c r="G61" s="275">
        <f>+'Cash-Flow-2019-Leva'!G61/1000</f>
        <v>48.44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5"/>
      <c r="O61" s="370">
        <f t="shared" si="6"/>
        <v>15.445</v>
      </c>
      <c r="P61" s="393">
        <f t="shared" si="6"/>
        <v>48.44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5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5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5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15.445</v>
      </c>
      <c r="G65" s="269">
        <f>+SUM(G60:G63)</f>
        <v>48.44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5"/>
      <c r="O65" s="390">
        <f>+SUM(O60:O63)</f>
        <v>15.445</v>
      </c>
      <c r="P65" s="391">
        <f>+SUM(P60:P63)</f>
        <v>48.44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5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5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5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5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5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0</v>
      </c>
      <c r="G71" s="236">
        <f>+'Cash-Flow-2019-Leva'!G71/1000</f>
        <v>0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5"/>
      <c r="O71" s="375">
        <f>+F71+I71+L71</f>
        <v>0</v>
      </c>
      <c r="P71" s="368">
        <f>+G71+J71+M71</f>
        <v>0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5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0</v>
      </c>
      <c r="G73" s="269">
        <f>+SUM(G71:G72)</f>
        <v>0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5"/>
      <c r="O73" s="390">
        <f>+SUM(O71:O72)</f>
        <v>0</v>
      </c>
      <c r="P73" s="391">
        <f>+SUM(P71:P72)</f>
        <v>0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5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5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5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5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5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5" t="s">
        <v>266</v>
      </c>
      <c r="C79" s="190"/>
      <c r="D79" s="191"/>
      <c r="E79" s="285"/>
      <c r="F79" s="277">
        <f>+F58+F65+F69+F73+F77</f>
        <v>2922.179</v>
      </c>
      <c r="G79" s="280">
        <f>+G58+G65+G69+G73+G77</f>
        <v>3001.025</v>
      </c>
      <c r="H79" s="285"/>
      <c r="I79" s="277">
        <f>+I58+I65+I69+I73+I77</f>
        <v>96.54500000000002</v>
      </c>
      <c r="J79" s="280">
        <f>+J58+J65+J69+J73+J77</f>
        <v>0</v>
      </c>
      <c r="K79" s="285"/>
      <c r="L79" s="277">
        <f>+L58+L65+L69+L73+L77</f>
        <v>0</v>
      </c>
      <c r="M79" s="280">
        <f>+M58+M65+M69+M73+M77</f>
        <v>0</v>
      </c>
      <c r="N79" s="475"/>
      <c r="O79" s="394">
        <f>+O58+O65+O69+O73+O77</f>
        <v>3018.7240000000006</v>
      </c>
      <c r="P79" s="401">
        <f>+P58+P65+P69+P73+P77</f>
        <v>3001.025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5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2919.06</v>
      </c>
      <c r="G81" s="263">
        <f>+'Cash-Flow-2019-Leva'!G81/1000</f>
        <v>2997.985</v>
      </c>
      <c r="H81" s="285"/>
      <c r="I81" s="264">
        <f>+'Cash-Flow-2019-Leva'!I81/1000</f>
        <v>96.545</v>
      </c>
      <c r="J81" s="263">
        <f>+'Cash-Flow-2019-Leva'!J81/1000</f>
        <v>0</v>
      </c>
      <c r="K81" s="285"/>
      <c r="L81" s="264">
        <f>+'Cash-Flow-2019-Leva'!L81/1000</f>
        <v>0</v>
      </c>
      <c r="M81" s="263">
        <f>+'Cash-Flow-2019-Leva'!M81/1000</f>
        <v>0</v>
      </c>
      <c r="N81" s="475"/>
      <c r="O81" s="374">
        <f>+F81+I81+L81</f>
        <v>3015.605</v>
      </c>
      <c r="P81" s="387">
        <f>+G81+J81+M81</f>
        <v>2997.985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5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2919.06</v>
      </c>
      <c r="G83" s="278">
        <f>+G81+G82</f>
        <v>2997.985</v>
      </c>
      <c r="H83" s="285"/>
      <c r="I83" s="279">
        <f>+I81+I82</f>
        <v>96.545</v>
      </c>
      <c r="J83" s="278">
        <f>+J81+J82</f>
        <v>0</v>
      </c>
      <c r="K83" s="285"/>
      <c r="L83" s="279">
        <f>+L81+L82</f>
        <v>0</v>
      </c>
      <c r="M83" s="278">
        <f>+M81+M82</f>
        <v>0</v>
      </c>
      <c r="N83" s="475"/>
      <c r="O83" s="395">
        <f>+O81+O82</f>
        <v>3015.605</v>
      </c>
      <c r="P83" s="396">
        <f>+P81+P82</f>
        <v>2997.985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7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7"/>
      <c r="D84" s="677"/>
      <c r="E84" s="5"/>
      <c r="F84" s="479">
        <f>+ROUND(+F85+F86,0)</f>
        <v>0</v>
      </c>
      <c r="G84" s="480">
        <f>+ROUND(+G85+G86,0)</f>
        <v>0</v>
      </c>
      <c r="H84" s="5"/>
      <c r="I84" s="479">
        <f>+ROUND(+I85+I86,0)</f>
        <v>0</v>
      </c>
      <c r="J84" s="480">
        <f>+ROUND(+J85+J86,0)</f>
        <v>0</v>
      </c>
      <c r="K84" s="5"/>
      <c r="L84" s="479">
        <f>+ROUND(+L85+L86,0)</f>
        <v>0</v>
      </c>
      <c r="M84" s="480">
        <f>+ROUND(+M85+M86,0)</f>
        <v>0</v>
      </c>
      <c r="N84" s="474"/>
      <c r="O84" s="488">
        <f>+ROUND(+O85+O86,0)</f>
        <v>0</v>
      </c>
      <c r="P84" s="489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0.052999999999883585</v>
      </c>
      <c r="G85" s="299">
        <f>+G50-G79+G83</f>
        <v>0.1390000000001237</v>
      </c>
      <c r="H85" s="285"/>
      <c r="I85" s="300">
        <f>+I50-I79+I83</f>
        <v>0</v>
      </c>
      <c r="J85" s="299">
        <f>+J50-J79+J83</f>
        <v>0</v>
      </c>
      <c r="K85" s="285"/>
      <c r="L85" s="300">
        <f>+L50-L79+L83</f>
        <v>0</v>
      </c>
      <c r="M85" s="299">
        <f>+M50-M79+M83</f>
        <v>0</v>
      </c>
      <c r="N85" s="475"/>
      <c r="O85" s="397">
        <f>+O50-O79+O83</f>
        <v>0.05299999999942884</v>
      </c>
      <c r="P85" s="398">
        <f>+P50-P79+P83</f>
        <v>0.1390000000001237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-0.053</v>
      </c>
      <c r="G86" s="301">
        <f>+G103+G122+G129-G134</f>
        <v>-0.139</v>
      </c>
      <c r="H86" s="285"/>
      <c r="I86" s="302">
        <f>+I103+I122+I129-I134</f>
        <v>0</v>
      </c>
      <c r="J86" s="301">
        <f>+J103+J122+J129-J134</f>
        <v>0</v>
      </c>
      <c r="K86" s="285"/>
      <c r="L86" s="302">
        <f>+L103+L122+L129-L134</f>
        <v>0</v>
      </c>
      <c r="M86" s="301">
        <f>+M103+M122+M129-M134</f>
        <v>0</v>
      </c>
      <c r="N86" s="475"/>
      <c r="O86" s="399">
        <f>+O103+O122+O129-O134</f>
        <v>-0.053</v>
      </c>
      <c r="P86" s="400">
        <f>+P103+P122+P129-P134</f>
        <v>-0.139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5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5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5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5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6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5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5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5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4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5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5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5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6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5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5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5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5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5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5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0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5"/>
      <c r="O103" s="388">
        <f>+O91+O97+O101</f>
        <v>0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5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5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5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5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5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5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5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5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5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5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5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5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5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5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5"/>
      <c r="O118" s="375">
        <f>+F118+I118+L118</f>
        <v>0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5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5"/>
      <c r="O120" s="390">
        <f>+SUM(O118:O119)</f>
        <v>0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5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5"/>
      <c r="O122" s="394">
        <f>+O108+O112+O116+O120</f>
        <v>0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5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5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0</v>
      </c>
      <c r="G125" s="275">
        <f>+'Cash-Flow-2019-Leva'!G125/1000</f>
        <v>0</v>
      </c>
      <c r="H125" s="285"/>
      <c r="I125" s="276">
        <f>+'Cash-Flow-2019-Leva'!I125/1000</f>
        <v>0</v>
      </c>
      <c r="J125" s="275">
        <f>+'Cash-Flow-2019-Leva'!J125/1000</f>
        <v>0</v>
      </c>
      <c r="K125" s="285"/>
      <c r="L125" s="276">
        <f>+'Cash-Flow-2019-Leva'!L125/1000</f>
        <v>0</v>
      </c>
      <c r="M125" s="275">
        <f>+'Cash-Flow-2019-Leva'!M125/1000</f>
        <v>0</v>
      </c>
      <c r="N125" s="475"/>
      <c r="O125" s="370">
        <f t="shared" si="8"/>
        <v>0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5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6" t="s">
        <v>291</v>
      </c>
      <c r="C127" s="514"/>
      <c r="D127" s="515"/>
      <c r="E127" s="285"/>
      <c r="F127" s="523">
        <f>+'Cash-Flow-2019-Leva'!F127/1000</f>
        <v>0</v>
      </c>
      <c r="G127" s="524">
        <f>+'Cash-Flow-2019-Leva'!G127/1000</f>
        <v>0</v>
      </c>
      <c r="H127" s="285"/>
      <c r="I127" s="523"/>
      <c r="J127" s="524"/>
      <c r="K127" s="285"/>
      <c r="L127" s="523"/>
      <c r="M127" s="524"/>
      <c r="N127" s="475"/>
      <c r="O127" s="521">
        <f>+F127+I127+L127</f>
        <v>0</v>
      </c>
      <c r="P127" s="522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5"/>
      <c r="O128" s="478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0</v>
      </c>
      <c r="G129" s="278">
        <f>+SUM(G124,G125,G126,G128)</f>
        <v>0</v>
      </c>
      <c r="H129" s="285"/>
      <c r="I129" s="279">
        <f>+SUM(I124,I125,I126,I128)</f>
        <v>0</v>
      </c>
      <c r="J129" s="278">
        <f>+SUM(J124,J125,J126,J128)</f>
        <v>0</v>
      </c>
      <c r="K129" s="285"/>
      <c r="L129" s="279">
        <f>+SUM(L124,L125,L126,L128)</f>
        <v>0</v>
      </c>
      <c r="M129" s="278">
        <f>+SUM(M124,M125,M126,M128)</f>
        <v>0</v>
      </c>
      <c r="N129" s="475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5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0</v>
      </c>
      <c r="G131" s="263">
        <f>+'Cash-Flow-2019-Leva'!G131/1000</f>
        <v>0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5"/>
      <c r="O131" s="374">
        <f aca="true" t="shared" si="9" ref="O131:P133">+F131+I131+L131</f>
        <v>0</v>
      </c>
      <c r="P131" s="387">
        <f t="shared" si="9"/>
        <v>0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4" t="s">
        <v>118</v>
      </c>
      <c r="C132" s="159"/>
      <c r="D132" s="160"/>
      <c r="E132" s="285"/>
      <c r="F132" s="276">
        <f>+'Cash-Flow-2019-Leva'!F132/1000</f>
        <v>-0.053</v>
      </c>
      <c r="G132" s="275">
        <f>+'Cash-Flow-2019-Leva'!G132/1000</f>
        <v>-0.139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5"/>
      <c r="O132" s="370">
        <f t="shared" si="9"/>
        <v>-0.053</v>
      </c>
      <c r="P132" s="393">
        <f t="shared" si="9"/>
        <v>-0.139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0</v>
      </c>
      <c r="G133" s="275">
        <f>+'Cash-Flow-2019-Leva'!G133/1000</f>
        <v>0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5"/>
      <c r="O133" s="370">
        <f t="shared" si="9"/>
        <v>0</v>
      </c>
      <c r="P133" s="393">
        <f t="shared" si="9"/>
        <v>0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0.053</v>
      </c>
      <c r="G134" s="283">
        <f>+G133-G131-G132</f>
        <v>0.139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5"/>
      <c r="O134" s="403">
        <f>+O133-O131-O132</f>
        <v>0.053</v>
      </c>
      <c r="P134" s="404">
        <f>+P133-P131-P132</f>
        <v>0.139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7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6"/>
      <c r="D135" s="676"/>
      <c r="E135" s="5"/>
      <c r="F135" s="481">
        <f>+ROUND(+F85+F86,0)</f>
        <v>0</v>
      </c>
      <c r="G135" s="490">
        <f>+ROUND(+G85+G86,0)</f>
        <v>0</v>
      </c>
      <c r="H135" s="482"/>
      <c r="I135" s="481">
        <f>+ROUND(+I85+I86,0)</f>
        <v>0</v>
      </c>
      <c r="J135" s="490">
        <f>+ROUND(+J85+J86,0)</f>
        <v>0</v>
      </c>
      <c r="K135" s="482"/>
      <c r="L135" s="481">
        <f>+ROUND(+L85+L86,0)</f>
        <v>0</v>
      </c>
      <c r="M135" s="490">
        <f>+ROUND(+M85+M86,0)</f>
        <v>0</v>
      </c>
      <c r="N135" s="482"/>
      <c r="O135" s="483">
        <f>+ROUND(+O85+O86,0)</f>
        <v>0</v>
      </c>
      <c r="P135" s="490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8">
        <f>+IF(F138&lt;&gt;0,"ГРЕШКА - ред 127",0)</f>
        <v>0</v>
      </c>
      <c r="G137" s="528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8">
        <f>+IF(AND($M$1&lt;&gt;9900,+ROUND(F127,0)&lt;&gt;0),F127,0)</f>
        <v>0</v>
      </c>
      <c r="G138" s="528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0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1" t="s">
        <v>282</v>
      </c>
      <c r="C145" s="492"/>
      <c r="D145" s="493"/>
      <c r="E145" s="104"/>
      <c r="F145" s="502" t="str">
        <f>+IF(+F148=0,"O K","НЕРАВНЕНИЕ!")</f>
        <v>O K</v>
      </c>
      <c r="G145" s="503" t="str">
        <f>+IF(+G148=0,"O K","НЕРАВНЕНИЕ!")</f>
        <v>O K</v>
      </c>
      <c r="H145" s="104"/>
      <c r="I145" s="498" t="str">
        <f>+IF(+I148=0,"O K","НЕРАВНЕНИЕ!")</f>
        <v>O K</v>
      </c>
      <c r="J145" s="499" t="str">
        <f>+IF(+J148=0,"O K","НЕРАВНЕНИЕ!")</f>
        <v>O K</v>
      </c>
      <c r="K145" s="105"/>
      <c r="L145" s="494" t="str">
        <f>+IF(+L148=0,"O K","НЕРАВНЕНИЕ!")</f>
        <v>O K</v>
      </c>
      <c r="M145" s="495" t="str">
        <f>+IF(+M148=0,"O K","НЕРАВНЕНИЕ!")</f>
        <v>O K</v>
      </c>
      <c r="N145" s="106"/>
      <c r="O145" s="506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1" t="s">
        <v>283</v>
      </c>
      <c r="C146" s="492"/>
      <c r="D146" s="493"/>
      <c r="E146" s="104"/>
      <c r="F146" s="502" t="str">
        <f>+IF(+F149=0,"O K","НЕРАВНЕНИЕ!")</f>
        <v>O K</v>
      </c>
      <c r="G146" s="503" t="str">
        <f>+IF(+G149=0,"O K","НЕРАВНЕНИЕ!")</f>
        <v>O K</v>
      </c>
      <c r="H146" s="104"/>
      <c r="I146" s="498" t="str">
        <f>+IF(+I149=0,"O K","НЕРАВНЕНИЕ!")</f>
        <v>O K</v>
      </c>
      <c r="J146" s="499" t="str">
        <f>+IF(+J149=0,"O K","НЕРАВНЕНИЕ!")</f>
        <v>O K</v>
      </c>
      <c r="K146" s="105"/>
      <c r="L146" s="494" t="str">
        <f>+IF(+L149=0,"O K","НЕРАВНЕНИЕ!")</f>
        <v>O K</v>
      </c>
      <c r="M146" s="495" t="str">
        <f>+IF(+M149=0,"O K","НЕРАВНЕНИЕ!")</f>
        <v>O K</v>
      </c>
      <c r="N146" s="106"/>
      <c r="O146" s="507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1" t="s">
        <v>280</v>
      </c>
      <c r="C148" s="492"/>
      <c r="D148" s="493"/>
      <c r="E148" s="104"/>
      <c r="F148" s="504">
        <f>+ROUND(+F85+F86,0)</f>
        <v>0</v>
      </c>
      <c r="G148" s="505">
        <f>+ROUND(+G85+G86,0)</f>
        <v>0</v>
      </c>
      <c r="H148" s="104"/>
      <c r="I148" s="500">
        <f>+ROUND(+I85+I86,0)</f>
        <v>0</v>
      </c>
      <c r="J148" s="501">
        <f>+ROUND(+J85+J86,0)</f>
        <v>0</v>
      </c>
      <c r="K148" s="105"/>
      <c r="L148" s="496">
        <f>+ROUND(+L85+L86,0)</f>
        <v>0</v>
      </c>
      <c r="M148" s="497">
        <f>+ROUND(+M85+M86,0)</f>
        <v>0</v>
      </c>
      <c r="N148" s="106"/>
      <c r="O148" s="508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1" t="s">
        <v>281</v>
      </c>
      <c r="C149" s="492"/>
      <c r="D149" s="493"/>
      <c r="E149" s="104"/>
      <c r="F149" s="504">
        <f>ROUND(SUM(+F85+F103+F122+F129+F131+F132)-F133,0)</f>
        <v>0</v>
      </c>
      <c r="G149" s="505">
        <f>ROUND(SUM(+G85+G103+G122+G129+G131+G132)-G133,0)</f>
        <v>0</v>
      </c>
      <c r="H149" s="104"/>
      <c r="I149" s="500">
        <f>ROUND(SUM(+I85+I103+I122+I129+I131+I132)-I133,0)</f>
        <v>0</v>
      </c>
      <c r="J149" s="501">
        <f>ROUND(SUM(+J85+J103+J122+J129+J131+J132)-J133,0)</f>
        <v>0</v>
      </c>
      <c r="K149" s="105"/>
      <c r="L149" s="496">
        <f>ROUND(SUM(+L85+L103+L122+L129+L131+L132)-L133,0)</f>
        <v>0</v>
      </c>
      <c r="M149" s="497">
        <f>ROUND(SUM(+M85+M103+M122+M129+M131+M132)-M133,0)</f>
        <v>0</v>
      </c>
      <c r="N149" s="106"/>
      <c r="O149" s="509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0">
        <f>+IF(AND(+(O84-O128)&lt;&gt;0,+'Cash-Flow-2019-Leva'!O85+'Cash-Flow-2019-Leva'!O86=0),+(O84-O128),0)</f>
        <v>0</v>
      </c>
      <c r="P151" s="511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7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2"/>
      <c r="P152" s="513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Katya Evtimova</cp:lastModifiedBy>
  <cp:lastPrinted>2018-09-27T09:28:48Z</cp:lastPrinted>
  <dcterms:created xsi:type="dcterms:W3CDTF">2015-12-01T07:17:04Z</dcterms:created>
  <dcterms:modified xsi:type="dcterms:W3CDTF">2020-02-14T08:57:16Z</dcterms:modified>
  <cp:category/>
  <cp:version/>
  <cp:contentType/>
  <cp:contentStatus/>
</cp:coreProperties>
</file>